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python.xml" ContentType="application/vnd.ms-excel.pyth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codeName="ThisWorkbook"/>
  <mc:AlternateContent xmlns:mc="http://schemas.openxmlformats.org/markup-compatibility/2006">
    <mc:Choice Requires="x15">
      <x15ac:absPath xmlns:x15ac="http://schemas.microsoft.com/office/spreadsheetml/2010/11/ac" url="https://ecgo365.sharepoint.com/sites/Clients/ProjectFolders/PCEF Energy Friendly Homes/_Projects/CR Calculator/"/>
    </mc:Choice>
  </mc:AlternateContent>
  <xr:revisionPtr revIDLastSave="0" documentId="8_{BD7AFE17-3E37-46E0-BE7D-54660E2AAB32}" xr6:coauthVersionLast="47" xr6:coauthVersionMax="47" xr10:uidLastSave="{00000000-0000-0000-0000-000000000000}"/>
  <workbookProtection workbookAlgorithmName="SHA-512" workbookHashValue="G8IwECCCJ0o4NS9PqbiMcF2cz/T9PSC4dQPiL9bWaoGM91sRKx8hnf3J2r1sg0zT0Z/8xubml7ynhgeq2NcxNQ==" workbookSaltValue="LVtpLz4OnQKGYEq4gFedsg==" workbookSpinCount="100000" lockStructure="1"/>
  <bookViews>
    <workbookView xWindow="-28920" yWindow="-120" windowWidth="29040" windowHeight="15720" firstSheet="2" activeTab="2" xr2:uid="{D2E26105-E333-40EE-ADDD-50D6073EAAF1}"/>
  </bookViews>
  <sheets>
    <sheet name="EFH v3 w. Funding Breakout" sheetId="6" state="hidden" r:id="rId1"/>
    <sheet name="Critical Repair Calculator" sheetId="1" state="hidden" r:id="rId2"/>
    <sheet name="Critical Repair Cap Calculator" sheetId="8" r:id="rId3"/>
    <sheet name="Scratch Sheet" sheetId="11" r:id="rId4"/>
    <sheet name="Engine" sheetId="10" state="hidden" r:id="rId5"/>
    <sheet name="Project Coordinator Review" sheetId="9" state="hidden" r:id="rId6"/>
  </sheets>
  <definedNames>
    <definedName name="CriticalRepairsLimit">'Critical Repair Cap Calculator'!$O$14:$O$14</definedName>
    <definedName name="EnergyIncentivesORRebates">'Critical Repair Cap Calculator'!$O$21:$O$21</definedName>
    <definedName name="EnergySavingMeasures">'Critical Repair Cap Calculator'!$O$13:$O$13</definedName>
    <definedName name="Maximum_PCEF_Critical_Repair_Allowance">'Critical Repair Cap Calculator'!$G$34:$I$34</definedName>
    <definedName name="MaxPCEFCriticRepairAllow">'Critical Repair Cap Calculator'!$I$34</definedName>
    <definedName name="OtherEnergyIncentRebates">'Critical Repair Cap Calculator'!$I$19</definedName>
    <definedName name="OtherRepairDollars">'Critical Repair Cap Calculator'!$I$21</definedName>
    <definedName name="PostAdjMaxPCEFFund">Engine!$E$27</definedName>
    <definedName name="PostClientCostShare">Engine!$E$12</definedName>
    <definedName name="PostClientCostShareMin">Engine!$E$13</definedName>
    <definedName name="PostCostShareReq">Engine!$E$30</definedName>
    <definedName name="PostMaxPCEFFundCompl">Engine!$E$4</definedName>
    <definedName name="PostOtherEnergyIncentRebates">Engine!$E$23</definedName>
    <definedName name="PostOtherFundRemain">Engine!$E$20</definedName>
    <definedName name="PostOtherRepairDollars">Engine!$E$24</definedName>
    <definedName name="PostPCEFEnergyEfficiencyMeasureCostsPrior">Engine!$E$19</definedName>
    <definedName name="PostPCEFFundEnergySave">Engine!$E$8</definedName>
    <definedName name="PostPCEFFundMaxCritRepair">Engine!$E$6</definedName>
    <definedName name="PostPCEFFundTotalProject">Engine!$E$9</definedName>
    <definedName name="PostPCEFMaxFundTierStage">Engine!$E$4</definedName>
    <definedName name="PostPCEFRepairCostPrior">Engine!$E$18</definedName>
    <definedName name="PostRemainProjDollars">Engine!$E$14</definedName>
    <definedName name="PostTotalOtherFundCost">Engine!$E$15</definedName>
    <definedName name="PostTotalPCEFFund">Engine!$E$21</definedName>
    <definedName name="PostTotalProjCost">Engine!$E$3</definedName>
    <definedName name="PreAdjMaxPCEFFund">Engine!#REF!</definedName>
    <definedName name="PreClientCostShare">Engine!#REF!</definedName>
    <definedName name="PreClientCostShareMin">Engine!#REF!</definedName>
    <definedName name="PreCostShareReq">Engine!#REF!</definedName>
    <definedName name="PreMaxPCEFFundCompl">Engine!#REF!</definedName>
    <definedName name="PreOtherEnergyIncentRebates">Engine!#REF!</definedName>
    <definedName name="PreOtherFundRemain">Engine!#REF!</definedName>
    <definedName name="PreOtherRepairDollars">Engine!#REF!</definedName>
    <definedName name="PrePCEFEnergyEfficiencyMeasureCostsPrior">Engine!#REF!</definedName>
    <definedName name="PrePCEFFundEnergySave">Engine!#REF!</definedName>
    <definedName name="PrePCEFFundMaxCritRepair">Engine!#REF!</definedName>
    <definedName name="PrePCEFFundTotalProject">Engine!#REF!</definedName>
    <definedName name="PrePCEFMaxFundTierStage">Engine!#REF!</definedName>
    <definedName name="PrePCEFRepairCostPrior">Engine!#REF!</definedName>
    <definedName name="PreRemainProjDollars">Engine!#REF!</definedName>
    <definedName name="PreTotalOtherFundCost">Engine!#REF!</definedName>
    <definedName name="PreTotalPCEFFund">Engine!#REF!</definedName>
    <definedName name="PreTotalProjCost">Engine!#REF!</definedName>
    <definedName name="SubtotalEligiblePCEFFunding">'Critical Repair Cap Calculator'!$O$16</definedName>
    <definedName name="SubtotalOtherFunding">'Critical Repair Cap Calculator'!$O$25</definedName>
    <definedName name="TotalClientCostShare">'Critical Repair Cap Calculator'!$O$23</definedName>
    <definedName name="TotalProjectCost">'Critical Repair Cap Calculator'!$I$17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11" l="1"/>
  <c r="H4" i="11"/>
  <c r="H5" i="11"/>
  <c r="H6" i="11"/>
  <c r="F7" i="9" l="1"/>
  <c r="F6" i="9"/>
  <c r="F5" i="9"/>
  <c r="C7" i="9"/>
  <c r="C6" i="9"/>
  <c r="C5" i="9"/>
  <c r="I31" i="8" l="1"/>
  <c r="I17" i="8"/>
  <c r="F19" i="10"/>
  <c r="G19" i="10"/>
  <c r="H19" i="10"/>
  <c r="I19" i="10"/>
  <c r="E19" i="10"/>
  <c r="O7" i="8"/>
  <c r="O8" i="8"/>
  <c r="M35" i="8"/>
  <c r="I27" i="8" l="1"/>
  <c r="F4" i="9"/>
  <c r="F32" i="8"/>
  <c r="I23" i="10"/>
  <c r="I8" i="10" s="1"/>
  <c r="H23" i="10"/>
  <c r="G23" i="10"/>
  <c r="F23" i="10"/>
  <c r="I12" i="10" a="1"/>
  <c r="I12" i="10" s="1"/>
  <c r="L8" i="10" l="1"/>
  <c r="F8" i="10"/>
  <c r="H17" i="11"/>
  <c r="H7" i="11"/>
  <c r="H8" i="11"/>
  <c r="H9" i="11"/>
  <c r="H10" i="11"/>
  <c r="O21" i="8"/>
  <c r="H2" i="11"/>
  <c r="H11" i="11"/>
  <c r="H12" i="11"/>
  <c r="H13" i="11"/>
  <c r="H14" i="11"/>
  <c r="H15" i="11"/>
  <c r="H16" i="11"/>
  <c r="H18" i="11"/>
  <c r="H19" i="11"/>
  <c r="F46" i="11"/>
  <c r="G46" i="11"/>
  <c r="H46" i="11" l="1"/>
  <c r="O32" i="8"/>
  <c r="E23" i="10"/>
  <c r="E8" i="10" s="1"/>
  <c r="O25" i="8" l="1"/>
  <c r="I23" i="8" l="1"/>
  <c r="I34" i="8"/>
  <c r="E27" i="10" s="1"/>
  <c r="O31" i="8"/>
  <c r="I3" i="10"/>
  <c r="I32" i="10" s="1"/>
  <c r="I33" i="10" s="1"/>
  <c r="G3" i="10"/>
  <c r="G13" i="10" s="1"/>
  <c r="F3" i="10"/>
  <c r="H3" i="10"/>
  <c r="E3" i="10"/>
  <c r="C4" i="9"/>
  <c r="H13" i="10" l="1"/>
  <c r="H32" i="10"/>
  <c r="H33" i="10" s="1"/>
  <c r="E32" i="10"/>
  <c r="G32" i="10"/>
  <c r="G33" i="10" s="1"/>
  <c r="F13" i="10"/>
  <c r="F32" i="10"/>
  <c r="F33" i="10" s="1"/>
  <c r="I27" i="10"/>
  <c r="F27" i="10"/>
  <c r="I13" i="10"/>
  <c r="E13" i="10"/>
  <c r="E6" i="10"/>
  <c r="E18" i="10" s="1"/>
  <c r="F28" i="8"/>
  <c r="E26" i="10" l="1"/>
  <c r="O23" i="8" a="1"/>
  <c r="O23" i="8" s="1"/>
  <c r="E33" i="10"/>
  <c r="F6" i="10"/>
  <c r="F9" i="10" s="1"/>
  <c r="H6" i="10"/>
  <c r="I6" i="10"/>
  <c r="G6" i="10"/>
  <c r="O9" i="8"/>
  <c r="D41" i="6"/>
  <c r="I35" i="6"/>
  <c r="I36" i="6" s="1"/>
  <c r="D34" i="6"/>
  <c r="I29" i="6"/>
  <c r="D29" i="6"/>
  <c r="D28" i="6"/>
  <c r="D30" i="6" s="1"/>
  <c r="B20" i="6"/>
  <c r="E19" i="6"/>
  <c r="E17" i="6"/>
  <c r="E13" i="6"/>
  <c r="I9" i="10" l="1"/>
  <c r="I21" i="10" s="1"/>
  <c r="E9" i="10"/>
  <c r="E21" i="10" s="1"/>
  <c r="H18" i="10"/>
  <c r="H8" i="10" s="1"/>
  <c r="F21" i="10"/>
  <c r="F18" i="10"/>
  <c r="F26" i="10" s="1"/>
  <c r="I18" i="10"/>
  <c r="I26" i="10" s="1"/>
  <c r="G18" i="10"/>
  <c r="G8" i="10" s="1"/>
  <c r="O10" i="8"/>
  <c r="D35" i="6"/>
  <c r="I28" i="6"/>
  <c r="I30" i="6" s="1"/>
  <c r="I37" i="6" s="1"/>
  <c r="I38" i="6" s="1"/>
  <c r="E21" i="6"/>
  <c r="I31" i="6" s="1"/>
  <c r="G26" i="10" l="1"/>
  <c r="G27" i="10"/>
  <c r="H26" i="10"/>
  <c r="D37" i="6"/>
  <c r="D38" i="6" s="1"/>
  <c r="I42" i="6"/>
  <c r="D42" i="6"/>
  <c r="D43" i="6" s="1"/>
  <c r="I32" i="6"/>
  <c r="I41" i="6" s="1"/>
  <c r="L27" i="10" l="1"/>
  <c r="G9" i="10"/>
  <c r="G21" i="10" s="1"/>
  <c r="O13" i="8" a="1"/>
  <c r="O13" i="8" s="1"/>
  <c r="E14" i="10"/>
  <c r="F14" i="10"/>
  <c r="I14" i="10"/>
  <c r="H14" i="10"/>
  <c r="G14" i="10"/>
  <c r="D45" i="6"/>
  <c r="D27" i="1"/>
  <c r="E7" i="1"/>
  <c r="H25" i="1"/>
  <c r="H24" i="1"/>
  <c r="F8" i="9" l="1" a="1"/>
  <c r="F8" i="9" s="1"/>
  <c r="C8" i="9" a="1"/>
  <c r="C8" i="9" s="1"/>
  <c r="O14" i="8" a="1"/>
  <c r="O14" i="8" s="1"/>
  <c r="G8" i="1"/>
  <c r="G7" i="1"/>
  <c r="D31" i="1"/>
  <c r="D26" i="1"/>
  <c r="D20" i="1"/>
  <c r="D22" i="1" s="1"/>
  <c r="E11" i="1"/>
  <c r="E13" i="1"/>
  <c r="D32" i="1" s="1"/>
  <c r="C9" i="9" l="1" a="1"/>
  <c r="C9" i="9" s="1"/>
  <c r="F9" i="9" a="1"/>
  <c r="F9" i="9" s="1"/>
  <c r="D28" i="1"/>
  <c r="D33" i="1"/>
  <c r="D35" i="1" l="1"/>
  <c r="O16" i="8" l="1"/>
  <c r="F10" i="9" l="1"/>
  <c r="F12" i="9" s="1"/>
  <c r="F13" i="9" s="1"/>
  <c r="C10" i="9"/>
  <c r="C11" i="9" s="1"/>
  <c r="O24" i="8"/>
  <c r="O34" i="8"/>
  <c r="O33" i="8"/>
  <c r="M27" i="8" l="1"/>
  <c r="C12" i="9"/>
  <c r="O26" i="8"/>
  <c r="H27" i="10" l="1"/>
  <c r="H9" i="10" l="1"/>
  <c r="H21"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<sst xmlns="http://schemas.openxmlformats.org/spreadsheetml/2006/main" count="236" uniqueCount="168">
  <si>
    <t>Maximum PCEF Critical Repair Allowance Caluclator</t>
  </si>
  <si>
    <t>The lesser of Test #1,  Test #2, or Test #3</t>
  </si>
  <si>
    <t>Editable cells are in blue</t>
  </si>
  <si>
    <t>Client Tier</t>
  </si>
  <si>
    <t>Tier 1</t>
  </si>
  <si>
    <t>Total Cost of Project Energy Saving Measures</t>
  </si>
  <si>
    <t>Total Cost of Project Critical Repairs</t>
  </si>
  <si>
    <r>
      <t xml:space="preserve"> </t>
    </r>
    <r>
      <rPr>
        <b/>
        <sz val="12"/>
        <color theme="1"/>
        <rFont val="Aptos Narrow"/>
        <family val="2"/>
        <scheme val="minor"/>
      </rPr>
      <t>Test #1</t>
    </r>
    <r>
      <rPr>
        <sz val="11"/>
        <color theme="1"/>
        <rFont val="Aptos Narrow"/>
        <family val="2"/>
        <scheme val="minor"/>
      </rPr>
      <t>:  Maximum of 30% of Project Costs</t>
    </r>
  </si>
  <si>
    <t>Other Energy Incentives or Rebates</t>
  </si>
  <si>
    <r>
      <t xml:space="preserve"> </t>
    </r>
    <r>
      <rPr>
        <b/>
        <sz val="12"/>
        <color theme="1"/>
        <rFont val="Aptos Narrow"/>
        <family val="2"/>
        <scheme val="minor"/>
      </rPr>
      <t>Test #2</t>
    </r>
    <r>
      <rPr>
        <sz val="11"/>
        <color theme="1"/>
        <rFont val="Aptos Narrow"/>
        <family val="2"/>
        <scheme val="minor"/>
      </rPr>
      <t>:  Maximum of 50% of PCEF Funding</t>
    </r>
  </si>
  <si>
    <r>
      <rPr>
        <b/>
        <sz val="12"/>
        <color theme="1"/>
        <rFont val="Aptos Narrow"/>
        <family val="2"/>
        <scheme val="minor"/>
      </rPr>
      <t>Test #3:</t>
    </r>
    <r>
      <rPr>
        <sz val="12"/>
        <color theme="1"/>
        <rFont val="Aptos Narrow"/>
        <family val="2"/>
        <scheme val="minor"/>
      </rPr>
      <t xml:space="preserve"> PCEF Total Contribution  Limit</t>
    </r>
  </si>
  <si>
    <t>Maximum PCEF Critical Repair Allowance</t>
  </si>
  <si>
    <t>Project Summary</t>
  </si>
  <si>
    <t>Project Costs</t>
  </si>
  <si>
    <t>Total</t>
  </si>
  <si>
    <t>PCEF Funding</t>
  </si>
  <si>
    <t>Total for Energy Savings Measures</t>
  </si>
  <si>
    <t>Potential PCEF Funding Subtotal (Cost - Incentives)</t>
  </si>
  <si>
    <t>Total for Critical Repairs</t>
  </si>
  <si>
    <t>PCEF Maximum Funding for Tier</t>
  </si>
  <si>
    <t>Total Project Costs</t>
  </si>
  <si>
    <t>Max PCEF Funding Total</t>
  </si>
  <si>
    <t>PCEF Funding Max Critical Repair Amount</t>
  </si>
  <si>
    <t>Project Funding Sources</t>
  </si>
  <si>
    <t xml:space="preserve">PCEF Funding Energy Saving Measures </t>
  </si>
  <si>
    <t>Other (Non-PCEF) Funding:</t>
  </si>
  <si>
    <t>Energy Incentives or Rebates</t>
  </si>
  <si>
    <t xml:space="preserve">Client Cost Share  </t>
  </si>
  <si>
    <t>PCEF Contribution for Critical Repairs</t>
  </si>
  <si>
    <t>Client Cost Share Requirement for Tier (Cost Share - Incentives)</t>
  </si>
  <si>
    <t>Other Repair Dollars Provided</t>
  </si>
  <si>
    <t>Client Cost Share Cost Minimum</t>
  </si>
  <si>
    <t>Client Cost Share Required (Cost Share + Overage)</t>
  </si>
  <si>
    <t>Remaining Project Dollars Needed</t>
  </si>
  <si>
    <t>Subtotal Other Funding</t>
  </si>
  <si>
    <t>Total Client Cost Share Required</t>
  </si>
  <si>
    <t>PCEF Funding:</t>
  </si>
  <si>
    <t>Cost Share Check</t>
  </si>
  <si>
    <t>Energy Saving Measures</t>
  </si>
  <si>
    <t>PCEF Energy Saving Measures  Cost Percent</t>
  </si>
  <si>
    <t>Critical Repairs</t>
  </si>
  <si>
    <t>PCEF Critical Repairs Cost Percent*</t>
  </si>
  <si>
    <t>Subtotal PCEF Funding</t>
  </si>
  <si>
    <t>Total Funding</t>
  </si>
  <si>
    <r>
      <rPr>
        <b/>
        <sz val="11"/>
        <color theme="1"/>
        <rFont val="Aptos Narrow"/>
        <family val="2"/>
        <scheme val="minor"/>
      </rPr>
      <t>Language in the CIP:</t>
    </r>
    <r>
      <rPr>
        <sz val="11"/>
        <color theme="1"/>
        <rFont val="Aptos Narrow"/>
        <family val="2"/>
        <scheme val="minor"/>
      </rPr>
      <t xml:space="preserve"> Click
*Up to 30% of construction budget for each single-family home can be used for health, safety, accessibility, or enabling repairs. The 
remaining 70% must be used for energy improvements.
If match funding is available and the total project cost (PCEF funds + match funds) meets the requirement of at least 70% of total 
construction budget going into energy improvements, then up to 50% of PCEF funding can be applied to health, safety, accessibility, or 
enabling repairs. </t>
    </r>
  </si>
  <si>
    <t>The lesser of Test #1 or Test #2</t>
  </si>
  <si>
    <r>
      <rPr>
        <b/>
        <sz val="11"/>
        <color theme="1"/>
        <rFont val="Aptos Narrow"/>
        <family val="2"/>
        <scheme val="minor"/>
      </rPr>
      <t xml:space="preserve">Rule 1: </t>
    </r>
    <r>
      <rPr>
        <sz val="11"/>
        <color theme="1"/>
        <rFont val="Aptos Narrow"/>
        <family val="2"/>
        <scheme val="minor"/>
      </rPr>
      <t xml:space="preserve">PCEF funds of up to 30% of Project Total (PCEF Investment + Energy Savings Incentives) may be spent on critical repair as defined in the PCEF Eligible Measures. 
</t>
    </r>
    <r>
      <rPr>
        <b/>
        <sz val="11"/>
        <color theme="1"/>
        <rFont val="Aptos Narrow"/>
        <family val="2"/>
        <scheme val="minor"/>
      </rPr>
      <t xml:space="preserve">Rule 2: </t>
    </r>
    <r>
      <rPr>
        <sz val="11"/>
        <color theme="1"/>
        <rFont val="Aptos Narrow"/>
        <family val="2"/>
        <scheme val="minor"/>
      </rPr>
      <t xml:space="preserve">This amount will not exceed 50% of the PCEF investment on the project. 
</t>
    </r>
    <r>
      <rPr>
        <b/>
        <sz val="11"/>
        <color theme="8" tint="-0.249977111117893"/>
        <rFont val="Aptos Narrow"/>
        <family val="2"/>
        <scheme val="minor"/>
      </rPr>
      <t xml:space="preserve">Maximum PCEF Critical Repair Allowance per Home is the lesser of: 
Calc for Test #1: </t>
    </r>
    <r>
      <rPr>
        <b/>
        <i/>
        <sz val="11"/>
        <color theme="8" tint="-0.249977111117893"/>
        <rFont val="Aptos Narrow"/>
        <family val="2"/>
        <scheme val="minor"/>
      </rPr>
      <t xml:space="preserve"> (Cost of Project EE Measures / 70%) x 30%
  - or -             </t>
    </r>
    <r>
      <rPr>
        <b/>
        <sz val="11"/>
        <color theme="8" tint="-0.249977111117893"/>
        <rFont val="Aptos Narrow"/>
        <family val="2"/>
        <scheme val="minor"/>
      </rPr>
      <t xml:space="preserve">
Calc for Test #2: Cost of Project EE Measures - Other EE incentives or rebates
</t>
    </r>
    <r>
      <rPr>
        <sz val="11"/>
        <color theme="1"/>
        <rFont val="Aptos Narrow"/>
        <family val="2"/>
        <scheme val="minor"/>
      </rPr>
      <t xml:space="preserve">
</t>
    </r>
  </si>
  <si>
    <t>Project Costs and Funding</t>
  </si>
  <si>
    <t>Critical Repair Funds Needed</t>
  </si>
  <si>
    <t xml:space="preserve">This Critical Repair Allowance Calculator is for internal and informational purposes only and to serve as a tool to help contractors and Energy Friendly Homes Program team understand how the costs on a project may qualify. This calculator does not serve as an approval on a project or on any project costs unless an official scope of work (SOW) approval has been submitted to the contractor in writing by the Quality Assurance Provider. </t>
  </si>
  <si>
    <t>v.20260107</t>
  </si>
  <si>
    <t>Maximum PCEF Critical Repair Allowance Calculator</t>
  </si>
  <si>
    <t xml:space="preserve">Critical Repair Allowance per Home is the lesser of Total Cost of Project Critical Repairs, Rule 1 or Rule 2. </t>
  </si>
  <si>
    <t>Fill in BLUE cells</t>
  </si>
  <si>
    <t>Critical Repair Share</t>
  </si>
  <si>
    <t xml:space="preserve">     Project Energy Savings Contingency</t>
  </si>
  <si>
    <t>Eligible PCEF Funding:</t>
  </si>
  <si>
    <t>Critical Repairs Limit</t>
  </si>
  <si>
    <t xml:space="preserve">     Project Critical Repairs Estimate</t>
  </si>
  <si>
    <t>Subtotal Eligible PCEF Funding</t>
  </si>
  <si>
    <t>Total Project Cost</t>
  </si>
  <si>
    <t>Other Project Funding Sources</t>
  </si>
  <si>
    <t>Total Project Cost After Energy Incentives or Rebates</t>
  </si>
  <si>
    <t>Total Client Cost Share</t>
  </si>
  <si>
    <t>Unfunded Portion</t>
  </si>
  <si>
    <t>Total Funding CHECK</t>
  </si>
  <si>
    <r>
      <t>Rule 1</t>
    </r>
    <r>
      <rPr>
        <b/>
        <sz val="11"/>
        <color theme="1"/>
        <rFont val="Aptos Narrow"/>
        <family val="2"/>
        <scheme val="minor"/>
      </rPr>
      <t>:  Maximum of Critical Repair 30% of Total Project Cost</t>
    </r>
  </si>
  <si>
    <t>Table 2. Energy Friendly Homes Participation Rules</t>
  </si>
  <si>
    <t>See Table 1 for details</t>
  </si>
  <si>
    <t>Cost Summary</t>
  </si>
  <si>
    <t>Tier</t>
  </si>
  <si>
    <t>Household Income</t>
  </si>
  <si>
    <t>Max PCEF Funding</t>
  </si>
  <si>
    <t>Client Co-Funding Required</t>
  </si>
  <si>
    <t>&lt;=80% AMI</t>
  </si>
  <si>
    <r>
      <t>Rule 2</t>
    </r>
    <r>
      <rPr>
        <b/>
        <sz val="11"/>
        <color theme="1"/>
        <rFont val="Aptos Narrow"/>
        <family val="2"/>
        <scheme val="minor"/>
      </rPr>
      <t>:  Maximum of 50% of PCEF Funding</t>
    </r>
  </si>
  <si>
    <t>Tier 2</t>
  </si>
  <si>
    <t>81% - 120% AMI</t>
  </si>
  <si>
    <t>Estimated Energy Trust of Oregon Incentives</t>
  </si>
  <si>
    <t>Tier 3</t>
  </si>
  <si>
    <t>121% - 150% AMI</t>
  </si>
  <si>
    <t>What PCEF Energy Friendly Homes Will Fund</t>
  </si>
  <si>
    <t>Tier 4</t>
  </si>
  <si>
    <t>In-home care business</t>
  </si>
  <si>
    <t>Estimated Down Payment</t>
  </si>
  <si>
    <t>Tier 5</t>
  </si>
  <si>
    <t>Renters &lt;=80% AMI</t>
  </si>
  <si>
    <t xml:space="preserve">Critical Repair Allowance per home is the lesser of Total Cost of Project Critical Repairs, Rule 1 or Rule 2. </t>
  </si>
  <si>
    <t xml:space="preserve"> Measure Name 
(Note Site Type Where Applicable)</t>
  </si>
  <si>
    <t xml:space="preserve"> unit</t>
  </si>
  <si>
    <t>Qty</t>
  </si>
  <si>
    <t>Detached Single-Family &amp; Manufactured Homes</t>
  </si>
  <si>
    <t>Small Multifamily (SMF)</t>
  </si>
  <si>
    <t>EE Costs</t>
  </si>
  <si>
    <t>CR Costs</t>
  </si>
  <si>
    <t xml:space="preserve"> Incentives</t>
  </si>
  <si>
    <t xml:space="preserve">HVAC &amp; WATER HEATING </t>
  </si>
  <si>
    <t xml:space="preserve">ETO  Incentive: DHP-displacing elec. Zonal </t>
  </si>
  <si>
    <t>ETO  Incentive: DHP-displacing elec. Manufactured Homes</t>
  </si>
  <si>
    <t xml:space="preserve">ETO  Incentive: Ducted HP -displacing elec. Furnace </t>
  </si>
  <si>
    <t>ETO  Incentive: Extended capacity heat pump-displacing gas or oil furnaces</t>
  </si>
  <si>
    <t>ETO  Incentive: 95% AFUE or Greater Gas Furnace</t>
  </si>
  <si>
    <t>ETO  Incentive: Heat Pump Water Heater - displacing electric</t>
  </si>
  <si>
    <t>ETO  Incentive: Smart Thermostat (gas heated home)</t>
  </si>
  <si>
    <t>WINDOWS (co-funded by PCEF)</t>
  </si>
  <si>
    <t>sq. ft</t>
  </si>
  <si>
    <t>ETO Incentive: Window - Replacing Single Pane/Metal Frame in elec heated home</t>
  </si>
  <si>
    <t>ETO Incentive: Window - Replacing Single Pane/Metal Frame in gas heated home</t>
  </si>
  <si>
    <t>INSULATION</t>
  </si>
  <si>
    <t>ETO  Incentive: Wall Insulation R-11 from &lt; R-5 (elec &amp; gas heated home)</t>
  </si>
  <si>
    <t>ETO  Incentive: Floor Insulation R-30 or filled from &lt; R-12 (elec heated home)</t>
  </si>
  <si>
    <t>ETO  Incentive: Floor Insulation R-30 or filled from &lt; R-12 ( gas heated home)</t>
  </si>
  <si>
    <t>ETO  Incentive: Floor Insulation R-22 from &lt; R-12 ( elec &amp; gas heated manufactured home)</t>
  </si>
  <si>
    <t>ETO  Incentive: Floor Insulation R-22 from &lt; R-12 ( gas heated manufactured home)</t>
  </si>
  <si>
    <t>ETO  Incentive: Attic Insulation R-49 from &lt; R-12, or R-12 to R-18</t>
  </si>
  <si>
    <t>OTHER ELIGIBLE MEASURES (no incentives)</t>
  </si>
  <si>
    <t>Air Sealing</t>
  </si>
  <si>
    <t>Duct Sealing and Insulation</t>
  </si>
  <si>
    <t>Appliances</t>
  </si>
  <si>
    <t>Doors</t>
  </si>
  <si>
    <t>EV Charger</t>
  </si>
  <si>
    <t>DHW</t>
  </si>
  <si>
    <t xml:space="preserve">HVAC </t>
  </si>
  <si>
    <t>Ceiling Insulation</t>
  </si>
  <si>
    <t>Floor Insulation</t>
  </si>
  <si>
    <t>Wall Insulation</t>
  </si>
  <si>
    <t>Windows</t>
  </si>
  <si>
    <t>Lighting</t>
  </si>
  <si>
    <t>Water Conservation</t>
  </si>
  <si>
    <t>Controls</t>
  </si>
  <si>
    <t>HRV/ERV</t>
  </si>
  <si>
    <t>Contingency</t>
  </si>
  <si>
    <t>energy assessment fee</t>
  </si>
  <si>
    <t xml:space="preserve">Dryer vent </t>
  </si>
  <si>
    <t>Exhaust Fans</t>
  </si>
  <si>
    <t>CRITICAL REPAIRS</t>
  </si>
  <si>
    <t>PostApproval</t>
  </si>
  <si>
    <t xml:space="preserve">Max PCEF Funding for Tier by Stage </t>
  </si>
  <si>
    <t>PCEF Funding Total on This Project</t>
  </si>
  <si>
    <t>Client Cost Share Requirement for Tier</t>
  </si>
  <si>
    <t>Client Cost Share Cost Minimum Based on Current PCEF Funding on this Project</t>
  </si>
  <si>
    <t>Remaining Project Dollars Needed Based on Total Cost</t>
  </si>
  <si>
    <t>Adjusted PCEF Funding</t>
  </si>
  <si>
    <t>PCEF Repair Cost Before Incentives</t>
  </si>
  <si>
    <t>PCEF Energy Efficiency Measure Costs Before Incentives</t>
  </si>
  <si>
    <t>Total PCEF Funding</t>
  </si>
  <si>
    <t>Adjusted Total Project Cost After Incentives and Other Repair and Critical Repair</t>
  </si>
  <si>
    <t>Adjusted Max PCEF Funding After Critical Repair</t>
  </si>
  <si>
    <t>Cost Share Required</t>
  </si>
  <si>
    <t>No</t>
  </si>
  <si>
    <t>Yes</t>
  </si>
  <si>
    <t>PCEF Energy Saving Measures Cost Percent</t>
  </si>
  <si>
    <t>PCEF Critical Repairs Cost Percent</t>
  </si>
  <si>
    <t>Project Coordinator Review</t>
  </si>
  <si>
    <t>SOW Approval</t>
  </si>
  <si>
    <t>Completion</t>
  </si>
  <si>
    <t>EE Measure Cost</t>
  </si>
  <si>
    <t>Approved EE Measure Cost</t>
  </si>
  <si>
    <t>Critical Repair Cost</t>
  </si>
  <si>
    <t>Approved Critical Repair Cost</t>
  </si>
  <si>
    <t>Incentives</t>
  </si>
  <si>
    <t>Approved ETO Incentives</t>
  </si>
  <si>
    <t>Approved PCEF EE Payment</t>
  </si>
  <si>
    <t>Approved PCEF Critical Repair Payment</t>
  </si>
  <si>
    <t>Total Approved PCEF Total</t>
  </si>
  <si>
    <t>Down Payment</t>
  </si>
  <si>
    <t>Client Contribution Required</t>
  </si>
  <si>
    <t>Completion Payment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</si>
</sst>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_);\(&quot;$&quot;#,##0\)"/>
    <numFmt numFmtId="44" formatCode="_(&quot;$&quot;* #,##0.00_);_(&quot;$&quot;* \(#,##0.00\);_(&quot;$&quot;* &quot;-&quot;??_);_(@_)"/>
    <numFmt numFmtId="164" formatCode="&quot;$&quot;#,##0"/>
    <numFmt numFmtId="165" formatCode="&quot;$&quot;#,##0.0_);\(&quot;$&quot;#,##0.0\)"/>
    <numFmt numFmtId="166" formatCode="0.0%"/>
    <numFmt numFmtId="167" formatCode="_(&quot;$&quot;* #,##0_);_(&quot;$&quot;* \(#,##0\);_(&quot;$&quot;* &quot;-&quot;??_);_(@_)"/>
    <numFmt numFmtId="168" formatCode="_(&quot;$&quot;* #,##0_);_(&quot;$&quot;* \(#,##0\);_(&quot;$&quot;* &quot;-&quot;?_);_(@_)"/>
    <numFmt numFmtId="169" formatCode="&quot;$&quot;#,##0.00"/>
  </numFmts>
  <fonts count="33">
    <font>
      <sz val="11"/>
      <color theme="1"/>
      <name val="Aptos Narrow"/>
      <family val="2"/>
      <scheme val="minor"/>
    </font>
    <font>
      <sz val="11"/>
      <color theme="1"/>
      <name val="Aptos Narrow"/>
      <family val="2"/>
      <scheme val="minor"/>
    </font>
    <font>
      <b/>
      <sz val="11"/>
      <color theme="1"/>
      <name val="Aptos Narrow"/>
      <family val="2"/>
      <scheme val="minor"/>
    </font>
    <font>
      <sz val="12"/>
      <color theme="1"/>
      <name val="Aptos Narrow"/>
      <family val="2"/>
      <scheme val="minor"/>
    </font>
    <font>
      <b/>
      <sz val="14"/>
      <color theme="1"/>
      <name val="Aptos Narrow"/>
      <family val="2"/>
      <scheme val="minor"/>
    </font>
    <font>
      <b/>
      <sz val="12"/>
      <color theme="1"/>
      <name val="Aptos Narrow"/>
      <family val="2"/>
      <scheme val="minor"/>
    </font>
    <font>
      <sz val="12"/>
      <color rgb="FF030FFF"/>
      <name val="Aptos Narrow"/>
      <family val="2"/>
      <scheme val="minor"/>
    </font>
    <font>
      <b/>
      <sz val="11"/>
      <color theme="8" tint="-0.249977111117893"/>
      <name val="Aptos Narrow"/>
      <family val="2"/>
      <scheme val="minor"/>
    </font>
    <font>
      <b/>
      <i/>
      <sz val="11"/>
      <color theme="8" tint="-0.249977111117893"/>
      <name val="Aptos Narrow"/>
      <family val="2"/>
      <scheme val="minor"/>
    </font>
    <font>
      <b/>
      <sz val="13"/>
      <color theme="1"/>
      <name val="Aptos Narrow"/>
      <family val="2"/>
      <scheme val="minor"/>
    </font>
    <font>
      <sz val="11"/>
      <color rgb="FFFF0000"/>
      <name val="Aptos Narrow"/>
      <family val="2"/>
      <scheme val="minor"/>
    </font>
    <font>
      <sz val="12"/>
      <color theme="0" tint="-0.499984740745262"/>
      <name val="Aptos Narrow"/>
      <family val="2"/>
      <scheme val="minor"/>
    </font>
    <font>
      <sz val="12"/>
      <color rgb="FFFF0000"/>
      <name val="Aptos Narrow"/>
      <family val="2"/>
      <scheme val="minor"/>
    </font>
    <font>
      <b/>
      <sz val="12"/>
      <name val="Aptos Narrow"/>
      <family val="2"/>
      <scheme val="minor"/>
    </font>
    <font>
      <sz val="12"/>
      <name val="Aptos Narrow"/>
      <family val="2"/>
      <scheme val="minor"/>
    </font>
    <font>
      <i/>
      <sz val="12"/>
      <color theme="1"/>
      <name val="Aptos Narrow"/>
      <family val="2"/>
      <scheme val="minor"/>
    </font>
    <font>
      <sz val="9"/>
      <color theme="1"/>
      <name val="Aptos Narrow"/>
      <family val="2"/>
      <scheme val="minor"/>
    </font>
    <font>
      <b/>
      <sz val="12"/>
      <color theme="7"/>
      <name val="Aptos Narrow"/>
      <family val="2"/>
      <scheme val="minor"/>
    </font>
    <font>
      <sz val="11"/>
      <color theme="0"/>
      <name val="Aptos Narrow"/>
      <family val="2"/>
      <scheme val="minor"/>
    </font>
    <font>
      <sz val="11"/>
      <color rgb="FF006100"/>
      <name val="Aptos Narrow"/>
      <family val="2"/>
      <scheme val="minor"/>
    </font>
    <font>
      <sz val="11"/>
      <color rgb="FF9C5700"/>
      <name val="Aptos Narrow"/>
      <family val="2"/>
      <scheme val="minor"/>
    </font>
    <font>
      <b/>
      <sz val="12"/>
      <color rgb="FF0033CC"/>
      <name val="Aptos Narrow"/>
      <family val="2"/>
      <scheme val="minor"/>
    </font>
    <font>
      <b/>
      <sz val="12"/>
      <color rgb="FF0000FF"/>
      <name val="Aptos Narrow"/>
      <family val="2"/>
      <scheme val="minor"/>
    </font>
    <font>
      <b/>
      <sz val="12"/>
      <color theme="0"/>
      <name val="Aptos Narrow"/>
      <family val="2"/>
      <scheme val="minor"/>
    </font>
    <font>
      <b/>
      <sz val="24"/>
      <color theme="1"/>
      <name val="Aptos Narrow"/>
      <family val="2"/>
      <scheme val="minor"/>
    </font>
    <font>
      <strike/>
      <sz val="11"/>
      <color theme="1"/>
      <name val="Aptos Narrow"/>
      <family val="2"/>
      <scheme val="minor"/>
    </font>
    <font>
      <sz val="12"/>
      <color theme="2" tint="-9.9978637043366805E-2"/>
      <name val="Aptos Narrow"/>
      <family val="2"/>
      <scheme val="minor"/>
    </font>
    <font>
      <b/>
      <sz val="11"/>
      <color theme="0"/>
      <name val="Aptos Narrow"/>
      <family val="2"/>
      <scheme val="minor"/>
    </font>
    <font>
      <b/>
      <sz val="11"/>
      <color theme="0"/>
      <name val="Aptos Display"/>
      <family val="2"/>
      <scheme val="major"/>
    </font>
    <font>
      <b/>
      <sz val="14"/>
      <name val="Aptos Narrow"/>
      <family val="2"/>
      <scheme val="minor"/>
    </font>
    <font>
      <sz val="14"/>
      <name val="Aptos Narrow"/>
      <family val="2"/>
      <scheme val="minor"/>
    </font>
    <font>
      <sz val="11"/>
      <color theme="0" tint="-0.34998626667073579"/>
      <name val="Aptos Narrow"/>
      <family val="2"/>
      <scheme val="minor"/>
    </font>
    <font>
      <sz val="14"/>
      <color theme="7"/>
      <name val="Aptos Narrow"/>
      <family val="2"/>
      <scheme val="minor"/>
    </font>
  </fonts>
  <fills count="20">
    <fill>
      <patternFill patternType="none"/>
    </fill>
    <fill>
      <patternFill patternType="gray125"/>
    </fill>
    <fill>
      <patternFill patternType="solid">
        <fgColor theme="0"/>
        <bgColor indexed="64"/>
      </patternFill>
    </fill>
    <fill>
      <patternFill patternType="solid">
        <fgColor theme="7" tint="0.3999755851924192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4"/>
        <bgColor indexed="64"/>
      </patternFill>
    </fill>
    <fill>
      <patternFill patternType="solid">
        <fgColor theme="7" tint="0.79998168889431442"/>
        <bgColor indexed="64"/>
      </patternFill>
    </fill>
    <fill>
      <patternFill patternType="solid">
        <fgColor rgb="FFC6EFCE"/>
      </patternFill>
    </fill>
    <fill>
      <patternFill patternType="solid">
        <fgColor rgb="FFFFEB9C"/>
      </patternFill>
    </fill>
    <fill>
      <patternFill patternType="solid">
        <fgColor theme="0" tint="-0.14999847407452621"/>
        <bgColor indexed="64"/>
      </patternFill>
    </fill>
    <fill>
      <patternFill patternType="solid">
        <fgColor theme="1"/>
        <bgColor theme="4"/>
      </patternFill>
    </fill>
    <fill>
      <patternFill patternType="solid">
        <fgColor theme="0" tint="-0.14999847407452621"/>
        <bgColor theme="4" tint="0.79998168889431442"/>
      </patternFill>
    </fill>
    <fill>
      <patternFill patternType="solid">
        <fgColor theme="6" tint="0.59999389629810485"/>
        <bgColor indexed="64"/>
      </patternFill>
    </fill>
    <fill>
      <patternFill patternType="solid">
        <fgColor rgb="FFFFFF99"/>
        <bgColor indexed="64"/>
      </patternFill>
    </fill>
    <fill>
      <patternFill patternType="solid">
        <fgColor theme="4"/>
        <bgColor theme="4"/>
      </patternFill>
    </fill>
    <fill>
      <patternFill patternType="solid">
        <fgColor theme="3" tint="0.89999084444715716"/>
        <bgColor indexed="64"/>
      </patternFill>
    </fill>
    <fill>
      <patternFill patternType="solid">
        <fgColor theme="3" tint="0.24994659260841701"/>
        <bgColor indexed="64"/>
      </patternFill>
    </fill>
    <fill>
      <patternFill patternType="solid">
        <fgColor theme="1"/>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top style="thin">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theme="1"/>
      </top>
      <bottom style="medium">
        <color theme="1"/>
      </bottom>
      <diagonal/>
    </border>
    <border>
      <left style="thin">
        <color theme="1"/>
      </left>
      <right style="thin">
        <color theme="1"/>
      </right>
      <top style="thin">
        <color theme="1"/>
      </top>
      <bottom style="thin">
        <color theme="1"/>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style="medium">
        <color theme="1"/>
      </top>
      <bottom style="medium">
        <color theme="1"/>
      </bottom>
      <diagonal/>
    </border>
    <border>
      <left/>
      <right style="medium">
        <color theme="1"/>
      </right>
      <top style="medium">
        <color theme="1"/>
      </top>
      <bottom style="medium">
        <color theme="1"/>
      </bottom>
      <diagonal/>
    </border>
    <border>
      <left style="thin">
        <color theme="4"/>
      </left>
      <right/>
      <top style="thin">
        <color theme="4"/>
      </top>
      <bottom/>
      <diagonal/>
    </border>
    <border>
      <left/>
      <right/>
      <top style="thin">
        <color theme="4"/>
      </top>
      <bottom/>
      <diagonal/>
    </border>
    <border>
      <left/>
      <right style="thin">
        <color theme="4"/>
      </right>
      <top style="thin">
        <color theme="4"/>
      </top>
      <bottom/>
      <diagonal/>
    </border>
    <border>
      <left style="thin">
        <color auto="1"/>
      </left>
      <right style="thin">
        <color auto="1"/>
      </right>
      <top style="thin">
        <color auto="1"/>
      </top>
      <bottom style="thin">
        <color auto="1"/>
      </bottom>
      <diagonal/>
    </border>
    <border>
      <left/>
      <right style="medium">
        <color indexed="64"/>
      </right>
      <top style="medium">
        <color indexed="64"/>
      </top>
      <bottom style="medium">
        <color indexed="64"/>
      </bottom>
      <diagonal/>
    </border>
    <border>
      <left style="thin">
        <color theme="4"/>
      </left>
      <right/>
      <top/>
      <bottom/>
      <diagonal/>
    </border>
    <border>
      <left/>
      <right style="thin">
        <color theme="4"/>
      </right>
      <top/>
      <bottom/>
      <diagonal/>
    </border>
    <border>
      <left style="thin">
        <color theme="4"/>
      </left>
      <right/>
      <top/>
      <bottom style="thin">
        <color theme="4"/>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style="thin">
        <color theme="1"/>
      </left>
      <right style="medium">
        <color indexed="64"/>
      </right>
      <top style="medium">
        <color indexed="64"/>
      </top>
      <bottom style="thin">
        <color theme="1"/>
      </bottom>
      <diagonal/>
    </border>
    <border>
      <left style="medium">
        <color indexed="64"/>
      </left>
      <right style="thin">
        <color theme="1"/>
      </right>
      <top style="thin">
        <color theme="1"/>
      </top>
      <bottom style="thin">
        <color theme="1"/>
      </bottom>
      <diagonal/>
    </border>
    <border>
      <left style="thin">
        <color theme="1"/>
      </left>
      <right style="medium">
        <color indexed="64"/>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right/>
      <top style="medium">
        <color theme="1"/>
      </top>
      <bottom/>
      <diagonal/>
    </border>
  </borders>
  <cellStyleXfs count="8">
    <xf numFmtId="0" fontId="0" fillId="0" borderId="0"/>
    <xf numFmtId="9" fontId="1"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4" fontId="1" fillId="0" borderId="0" applyFont="0" applyFill="0" applyBorder="0" applyAlignment="0" applyProtection="0"/>
    <xf numFmtId="0" fontId="19" fillId="9" borderId="0" applyNumberFormat="0" applyBorder="0" applyAlignment="0" applyProtection="0"/>
    <xf numFmtId="0" fontId="20" fillId="10" borderId="0" applyNumberFormat="0" applyBorder="0" applyAlignment="0" applyProtection="0"/>
  </cellStyleXfs>
  <cellXfs count="268">
    <xf numFmtId="0" fontId="0" fillId="0" borderId="0" xfId="0"/>
    <xf numFmtId="0" fontId="3" fillId="2" borderId="1" xfId="2" applyFill="1" applyBorder="1"/>
    <xf numFmtId="0" fontId="3" fillId="2" borderId="2" xfId="2" applyFill="1" applyBorder="1"/>
    <xf numFmtId="0" fontId="3" fillId="2" borderId="3" xfId="2" applyFill="1" applyBorder="1"/>
    <xf numFmtId="0" fontId="3" fillId="0" borderId="0" xfId="2"/>
    <xf numFmtId="0" fontId="3" fillId="2" borderId="4" xfId="2" applyFill="1" applyBorder="1"/>
    <xf numFmtId="0" fontId="3" fillId="2" borderId="5" xfId="2" applyFill="1" applyBorder="1"/>
    <xf numFmtId="0" fontId="3" fillId="2" borderId="0" xfId="2" applyFill="1"/>
    <xf numFmtId="5" fontId="6" fillId="2" borderId="9" xfId="3" applyNumberFormat="1" applyFont="1" applyFill="1" applyBorder="1" applyProtection="1">
      <protection locked="0"/>
    </xf>
    <xf numFmtId="5" fontId="6" fillId="2" borderId="0" xfId="3" applyNumberFormat="1" applyFont="1" applyFill="1" applyBorder="1"/>
    <xf numFmtId="5" fontId="3" fillId="2" borderId="9" xfId="3" applyNumberFormat="1" applyFont="1" applyFill="1" applyBorder="1"/>
    <xf numFmtId="0" fontId="5" fillId="2" borderId="0" xfId="2" applyFont="1" applyFill="1"/>
    <xf numFmtId="5" fontId="5" fillId="2" borderId="0" xfId="3" applyNumberFormat="1" applyFont="1" applyFill="1" applyBorder="1"/>
    <xf numFmtId="5" fontId="3" fillId="0" borderId="0" xfId="2" applyNumberFormat="1"/>
    <xf numFmtId="5" fontId="3" fillId="2" borderId="0" xfId="2" applyNumberFormat="1" applyFill="1"/>
    <xf numFmtId="165" fontId="3" fillId="0" borderId="0" xfId="2" applyNumberFormat="1"/>
    <xf numFmtId="5" fontId="3" fillId="2" borderId="9" xfId="2" applyNumberFormat="1" applyFill="1" applyBorder="1"/>
    <xf numFmtId="5" fontId="5" fillId="3" borderId="9" xfId="2" applyNumberFormat="1" applyFont="1" applyFill="1" applyBorder="1"/>
    <xf numFmtId="0" fontId="3" fillId="2" borderId="10" xfId="2" applyFill="1" applyBorder="1"/>
    <xf numFmtId="0" fontId="3" fillId="2" borderId="11" xfId="2" applyFill="1" applyBorder="1"/>
    <xf numFmtId="0" fontId="3" fillId="2" borderId="12" xfId="2" applyFill="1" applyBorder="1"/>
    <xf numFmtId="0" fontId="4" fillId="2" borderId="0" xfId="2" applyFont="1" applyFill="1"/>
    <xf numFmtId="0" fontId="9" fillId="4" borderId="1" xfId="2" applyFont="1" applyFill="1" applyBorder="1"/>
    <xf numFmtId="0" fontId="3" fillId="4" borderId="2" xfId="2" applyFill="1" applyBorder="1"/>
    <xf numFmtId="0" fontId="3" fillId="4" borderId="13" xfId="2" applyFill="1" applyBorder="1" applyAlignment="1">
      <alignment horizontal="center"/>
    </xf>
    <xf numFmtId="0" fontId="3" fillId="2" borderId="0" xfId="2" applyFill="1" applyAlignment="1">
      <alignment horizontal="center"/>
    </xf>
    <xf numFmtId="0" fontId="3" fillId="4" borderId="14" xfId="2" applyFill="1" applyBorder="1"/>
    <xf numFmtId="0" fontId="3" fillId="4" borderId="15" xfId="2" applyFill="1" applyBorder="1"/>
    <xf numFmtId="5" fontId="3" fillId="4" borderId="16" xfId="3" applyNumberFormat="1" applyFont="1" applyFill="1" applyBorder="1"/>
    <xf numFmtId="166" fontId="0" fillId="2" borderId="0" xfId="4" applyNumberFormat="1" applyFont="1" applyFill="1" applyBorder="1"/>
    <xf numFmtId="0" fontId="3" fillId="4" borderId="4" xfId="2" applyFill="1" applyBorder="1"/>
    <xf numFmtId="0" fontId="3" fillId="4" borderId="0" xfId="2" applyFill="1"/>
    <xf numFmtId="5" fontId="6" fillId="4" borderId="17" xfId="3" applyNumberFormat="1" applyFont="1" applyFill="1" applyBorder="1" applyProtection="1">
      <protection locked="0"/>
    </xf>
    <xf numFmtId="5" fontId="5" fillId="4" borderId="20" xfId="3" applyNumberFormat="1" applyFont="1" applyFill="1" applyBorder="1"/>
    <xf numFmtId="166" fontId="5" fillId="2" borderId="0" xfId="4" applyNumberFormat="1" applyFont="1" applyFill="1" applyBorder="1"/>
    <xf numFmtId="167" fontId="3" fillId="2" borderId="0" xfId="2" applyNumberFormat="1" applyFill="1"/>
    <xf numFmtId="167" fontId="3" fillId="4" borderId="21" xfId="2" applyNumberFormat="1" applyFill="1" applyBorder="1" applyAlignment="1">
      <alignment horizontal="center"/>
    </xf>
    <xf numFmtId="0" fontId="5" fillId="4" borderId="14" xfId="2" applyFont="1" applyFill="1" applyBorder="1"/>
    <xf numFmtId="5" fontId="3" fillId="4" borderId="16" xfId="2" applyNumberFormat="1" applyFill="1" applyBorder="1"/>
    <xf numFmtId="0" fontId="3" fillId="4" borderId="4" xfId="2" applyFill="1" applyBorder="1" applyAlignment="1">
      <alignment horizontal="left" indent="1"/>
    </xf>
    <xf numFmtId="5" fontId="3" fillId="4" borderId="17" xfId="3" applyNumberFormat="1" applyFont="1" applyFill="1" applyBorder="1"/>
    <xf numFmtId="5" fontId="3" fillId="4" borderId="17" xfId="2" applyNumberFormat="1" applyFill="1" applyBorder="1"/>
    <xf numFmtId="0" fontId="3" fillId="4" borderId="22" xfId="2" applyFill="1" applyBorder="1"/>
    <xf numFmtId="166" fontId="3" fillId="2" borderId="0" xfId="1" applyNumberFormat="1" applyFont="1" applyFill="1"/>
    <xf numFmtId="0" fontId="3" fillId="4" borderId="23" xfId="2" applyFill="1" applyBorder="1" applyAlignment="1">
      <alignment horizontal="left" indent="1"/>
    </xf>
    <xf numFmtId="0" fontId="3" fillId="4" borderId="6" xfId="2" applyFill="1" applyBorder="1"/>
    <xf numFmtId="5" fontId="3" fillId="4" borderId="24" xfId="2" applyNumberFormat="1" applyFill="1" applyBorder="1"/>
    <xf numFmtId="167" fontId="3" fillId="0" borderId="0" xfId="2" applyNumberFormat="1"/>
    <xf numFmtId="168" fontId="3" fillId="2" borderId="9" xfId="3" applyNumberFormat="1" applyFont="1" applyFill="1" applyBorder="1"/>
    <xf numFmtId="168" fontId="3" fillId="2" borderId="9" xfId="2" applyNumberFormat="1" applyFill="1" applyBorder="1"/>
    <xf numFmtId="167" fontId="3" fillId="4" borderId="17" xfId="2" applyNumberFormat="1" applyFill="1" applyBorder="1"/>
    <xf numFmtId="167" fontId="3" fillId="4" borderId="26" xfId="2" applyNumberFormat="1" applyFill="1" applyBorder="1"/>
    <xf numFmtId="0" fontId="3" fillId="4" borderId="27" xfId="2" applyFill="1" applyBorder="1"/>
    <xf numFmtId="5" fontId="3" fillId="4" borderId="28" xfId="2" applyNumberFormat="1" applyFill="1" applyBorder="1"/>
    <xf numFmtId="0" fontId="5" fillId="4" borderId="4" xfId="2" applyFont="1" applyFill="1" applyBorder="1"/>
    <xf numFmtId="0" fontId="3" fillId="4" borderId="29" xfId="2" applyFill="1" applyBorder="1"/>
    <xf numFmtId="0" fontId="9" fillId="4" borderId="7" xfId="2" applyFont="1" applyFill="1" applyBorder="1"/>
    <xf numFmtId="0" fontId="5" fillId="0" borderId="0" xfId="2" applyFont="1"/>
    <xf numFmtId="167" fontId="11" fillId="0" borderId="0" xfId="2" applyNumberFormat="1" applyFont="1"/>
    <xf numFmtId="167" fontId="11" fillId="0" borderId="0" xfId="5" applyNumberFormat="1" applyFont="1" applyBorder="1" applyAlignment="1">
      <alignment horizontal="right"/>
    </xf>
    <xf numFmtId="9" fontId="3" fillId="0" borderId="0" xfId="1" applyFont="1" applyBorder="1"/>
    <xf numFmtId="9" fontId="11" fillId="0" borderId="0" xfId="1" applyFont="1" applyBorder="1" applyAlignment="1">
      <alignment horizontal="right"/>
    </xf>
    <xf numFmtId="44" fontId="3" fillId="0" borderId="0" xfId="5" applyFont="1" applyBorder="1"/>
    <xf numFmtId="167" fontId="5" fillId="0" borderId="0" xfId="2" applyNumberFormat="1" applyFont="1"/>
    <xf numFmtId="0" fontId="5" fillId="0" borderId="0" xfId="2" applyFont="1" applyAlignment="1">
      <alignment horizontal="right"/>
    </xf>
    <xf numFmtId="168" fontId="5" fillId="0" borderId="0" xfId="2" applyNumberFormat="1" applyFont="1" applyAlignment="1">
      <alignment horizontal="left"/>
    </xf>
    <xf numFmtId="168" fontId="14" fillId="4" borderId="24" xfId="2" applyNumberFormat="1" applyFont="1" applyFill="1" applyBorder="1"/>
    <xf numFmtId="168" fontId="14" fillId="0" borderId="0" xfId="2" applyNumberFormat="1" applyFont="1" applyAlignment="1">
      <alignment horizontal="right" indent="3"/>
    </xf>
    <xf numFmtId="0" fontId="13" fillId="5" borderId="0" xfId="2" applyFont="1" applyFill="1"/>
    <xf numFmtId="167" fontId="3" fillId="0" borderId="0" xfId="5" applyNumberFormat="1" applyFont="1" applyBorder="1"/>
    <xf numFmtId="168" fontId="3" fillId="2" borderId="0" xfId="2" applyNumberFormat="1" applyFill="1"/>
    <xf numFmtId="0" fontId="3" fillId="2" borderId="0" xfId="2" applyFill="1" applyAlignment="1">
      <alignment horizontal="right"/>
    </xf>
    <xf numFmtId="0" fontId="0" fillId="0" borderId="0" xfId="0" applyAlignment="1">
      <alignment horizontal="right"/>
    </xf>
    <xf numFmtId="168" fontId="14" fillId="2" borderId="9" xfId="2" applyNumberFormat="1" applyFont="1" applyFill="1" applyBorder="1" applyAlignment="1">
      <alignment horizontal="right"/>
    </xf>
    <xf numFmtId="167" fontId="14" fillId="4" borderId="17" xfId="2" applyNumberFormat="1" applyFont="1" applyFill="1" applyBorder="1"/>
    <xf numFmtId="168" fontId="5" fillId="3" borderId="9" xfId="2" applyNumberFormat="1" applyFont="1" applyFill="1" applyBorder="1"/>
    <xf numFmtId="5" fontId="12" fillId="2" borderId="0" xfId="3" applyNumberFormat="1" applyFont="1" applyFill="1" applyBorder="1" applyAlignment="1">
      <alignment horizontal="right"/>
    </xf>
    <xf numFmtId="9" fontId="3" fillId="0" borderId="0" xfId="1" applyFont="1" applyFill="1" applyBorder="1"/>
    <xf numFmtId="167" fontId="6" fillId="6" borderId="9" xfId="3" applyNumberFormat="1" applyFont="1" applyFill="1" applyBorder="1" applyAlignment="1" applyProtection="1">
      <alignment horizontal="right"/>
      <protection locked="0"/>
    </xf>
    <xf numFmtId="167" fontId="6" fillId="6" borderId="9" xfId="3" applyNumberFormat="1" applyFont="1" applyFill="1" applyBorder="1" applyProtection="1">
      <protection locked="0"/>
    </xf>
    <xf numFmtId="0" fontId="0" fillId="6" borderId="0" xfId="0" applyFill="1"/>
    <xf numFmtId="167" fontId="3" fillId="4" borderId="9" xfId="2" applyNumberFormat="1" applyFill="1" applyBorder="1" applyAlignment="1">
      <alignment horizontal="center"/>
    </xf>
    <xf numFmtId="167" fontId="3" fillId="4" borderId="5" xfId="2" applyNumberFormat="1" applyFill="1" applyBorder="1"/>
    <xf numFmtId="167" fontId="13" fillId="4" borderId="5" xfId="2" applyNumberFormat="1" applyFont="1" applyFill="1" applyBorder="1"/>
    <xf numFmtId="0" fontId="3" fillId="4" borderId="9" xfId="2" applyFill="1" applyBorder="1"/>
    <xf numFmtId="0" fontId="3" fillId="4" borderId="30" xfId="2" applyFill="1" applyBorder="1"/>
    <xf numFmtId="0" fontId="3" fillId="4" borderId="11" xfId="2" applyFill="1" applyBorder="1" applyAlignment="1">
      <alignment horizontal="right"/>
    </xf>
    <xf numFmtId="0" fontId="15" fillId="0" borderId="0" xfId="2" applyFont="1"/>
    <xf numFmtId="168" fontId="5" fillId="0" borderId="0" xfId="2" applyNumberFormat="1" applyFont="1"/>
    <xf numFmtId="168" fontId="3" fillId="0" borderId="0" xfId="2" applyNumberFormat="1"/>
    <xf numFmtId="0" fontId="5" fillId="4" borderId="32" xfId="2" applyFont="1" applyFill="1" applyBorder="1"/>
    <xf numFmtId="0" fontId="3" fillId="4" borderId="33" xfId="2" applyFill="1" applyBorder="1"/>
    <xf numFmtId="0" fontId="9" fillId="4" borderId="32" xfId="2" applyFont="1" applyFill="1" applyBorder="1"/>
    <xf numFmtId="167" fontId="3" fillId="4" borderId="16" xfId="2" applyNumberFormat="1" applyFill="1" applyBorder="1"/>
    <xf numFmtId="5" fontId="3" fillId="4" borderId="34" xfId="2" applyNumberFormat="1" applyFill="1" applyBorder="1" applyAlignment="1">
      <alignment horizontal="center"/>
    </xf>
    <xf numFmtId="167" fontId="11" fillId="0" borderId="0" xfId="5" applyNumberFormat="1" applyFont="1" applyFill="1" applyBorder="1" applyAlignment="1">
      <alignment horizontal="right"/>
    </xf>
    <xf numFmtId="0" fontId="19" fillId="9" borderId="1" xfId="6" applyBorder="1"/>
    <xf numFmtId="0" fontId="2" fillId="0" borderId="4" xfId="0" applyFont="1" applyBorder="1"/>
    <xf numFmtId="164" fontId="2" fillId="0" borderId="5" xfId="5" applyNumberFormat="1" applyFont="1" applyBorder="1"/>
    <xf numFmtId="0" fontId="19" fillId="9" borderId="10" xfId="6" applyBorder="1"/>
    <xf numFmtId="164" fontId="19" fillId="9" borderId="12" xfId="6" applyNumberFormat="1" applyBorder="1"/>
    <xf numFmtId="0" fontId="19" fillId="9" borderId="3" xfId="6" applyBorder="1"/>
    <xf numFmtId="0" fontId="20" fillId="10" borderId="1" xfId="7" applyBorder="1"/>
    <xf numFmtId="0" fontId="20" fillId="10" borderId="3" xfId="7" applyBorder="1"/>
    <xf numFmtId="0" fontId="20" fillId="10" borderId="4" xfId="7" applyBorder="1"/>
    <xf numFmtId="164" fontId="20" fillId="10" borderId="5" xfId="7" applyNumberFormat="1" applyBorder="1"/>
    <xf numFmtId="167" fontId="6" fillId="8" borderId="9" xfId="3" applyNumberFormat="1" applyFont="1" applyFill="1" applyBorder="1" applyAlignment="1" applyProtection="1">
      <alignment horizontal="right"/>
      <protection locked="0"/>
    </xf>
    <xf numFmtId="0" fontId="2" fillId="0" borderId="45" xfId="0" applyFont="1" applyBorder="1"/>
    <xf numFmtId="164" fontId="2" fillId="0" borderId="46" xfId="5" applyNumberFormat="1" applyFont="1" applyBorder="1"/>
    <xf numFmtId="0" fontId="24" fillId="0" borderId="0" xfId="0" applyFont="1"/>
    <xf numFmtId="0" fontId="3" fillId="7" borderId="0" xfId="2" applyFill="1"/>
    <xf numFmtId="166" fontId="0" fillId="2" borderId="0" xfId="4" applyNumberFormat="1" applyFont="1" applyFill="1" applyBorder="1" applyProtection="1"/>
    <xf numFmtId="9" fontId="3" fillId="4" borderId="31" xfId="1" applyFont="1" applyFill="1" applyBorder="1" applyProtection="1"/>
    <xf numFmtId="166" fontId="3" fillId="2" borderId="0" xfId="1" applyNumberFormat="1" applyFont="1" applyFill="1" applyProtection="1"/>
    <xf numFmtId="168" fontId="3" fillId="4" borderId="17" xfId="2" applyNumberFormat="1" applyFill="1" applyBorder="1"/>
    <xf numFmtId="5" fontId="12" fillId="2" borderId="0" xfId="3" applyNumberFormat="1" applyFont="1" applyFill="1" applyBorder="1" applyAlignment="1" applyProtection="1">
      <alignment horizontal="right"/>
    </xf>
    <xf numFmtId="0" fontId="20" fillId="0" borderId="0" xfId="7" applyFill="1" applyProtection="1"/>
    <xf numFmtId="0" fontId="0" fillId="0" borderId="3" xfId="0" applyBorder="1"/>
    <xf numFmtId="0" fontId="0" fillId="0" borderId="5" xfId="0" applyBorder="1"/>
    <xf numFmtId="5" fontId="16" fillId="2" borderId="0" xfId="3" applyNumberFormat="1" applyFont="1" applyFill="1" applyBorder="1" applyAlignment="1" applyProtection="1">
      <alignment horizontal="right" vertical="top"/>
    </xf>
    <xf numFmtId="0" fontId="0" fillId="0" borderId="12" xfId="0" applyBorder="1"/>
    <xf numFmtId="0" fontId="3" fillId="7" borderId="0" xfId="2" applyFill="1" applyAlignment="1">
      <alignment wrapText="1"/>
    </xf>
    <xf numFmtId="0" fontId="3" fillId="0" borderId="0" xfId="2" applyAlignment="1">
      <alignment wrapText="1"/>
    </xf>
    <xf numFmtId="0" fontId="3" fillId="2" borderId="4" xfId="2" applyFill="1" applyBorder="1" applyAlignment="1">
      <alignment wrapText="1"/>
    </xf>
    <xf numFmtId="0" fontId="0" fillId="0" borderId="5" xfId="0" applyBorder="1" applyAlignment="1">
      <alignment wrapText="1"/>
    </xf>
    <xf numFmtId="0" fontId="3" fillId="2" borderId="5" xfId="2" applyFill="1" applyBorder="1" applyAlignment="1">
      <alignment wrapText="1"/>
    </xf>
    <xf numFmtId="0" fontId="0" fillId="13" borderId="39" xfId="0" applyFill="1" applyBorder="1"/>
    <xf numFmtId="164" fontId="0" fillId="13" borderId="39" xfId="0" applyNumberFormat="1" applyFill="1" applyBorder="1" applyAlignment="1">
      <alignment horizontal="center"/>
    </xf>
    <xf numFmtId="0" fontId="0" fillId="0" borderId="39" xfId="0" applyBorder="1"/>
    <xf numFmtId="164" fontId="0" fillId="0" borderId="39" xfId="0" applyNumberFormat="1" applyBorder="1" applyAlignment="1">
      <alignment horizontal="center"/>
    </xf>
    <xf numFmtId="0" fontId="10" fillId="0" borderId="0" xfId="0" applyFont="1"/>
    <xf numFmtId="0" fontId="12" fillId="0" borderId="0" xfId="2" applyFont="1"/>
    <xf numFmtId="0" fontId="0" fillId="0" borderId="2" xfId="0" applyBorder="1"/>
    <xf numFmtId="0" fontId="25" fillId="0" borderId="0" xfId="0" applyFont="1"/>
    <xf numFmtId="0" fontId="26" fillId="0" borderId="0" xfId="2" applyFont="1"/>
    <xf numFmtId="0" fontId="13" fillId="14" borderId="0" xfId="2" applyFont="1" applyFill="1"/>
    <xf numFmtId="164" fontId="20" fillId="15" borderId="5" xfId="7" applyNumberFormat="1" applyFill="1" applyBorder="1"/>
    <xf numFmtId="0" fontId="0" fillId="19" borderId="0" xfId="0" applyFill="1"/>
    <xf numFmtId="0" fontId="5" fillId="2" borderId="6" xfId="2" applyFont="1" applyFill="1" applyBorder="1" applyAlignment="1">
      <alignment horizontal="center" vertical="top"/>
    </xf>
    <xf numFmtId="0" fontId="0" fillId="0" borderId="6" xfId="0" applyBorder="1" applyAlignment="1">
      <alignment horizontal="center"/>
    </xf>
    <xf numFmtId="0" fontId="0" fillId="0" borderId="0" xfId="0" applyAlignment="1">
      <alignment wrapText="1"/>
    </xf>
    <xf numFmtId="0" fontId="5" fillId="4" borderId="10" xfId="2" applyFont="1" applyFill="1" applyBorder="1" applyAlignment="1">
      <alignment horizontal="right"/>
    </xf>
    <xf numFmtId="0" fontId="18" fillId="19" borderId="0" xfId="0" applyFont="1" applyFill="1"/>
    <xf numFmtId="44" fontId="0" fillId="19" borderId="47" xfId="5" applyFont="1" applyFill="1" applyBorder="1"/>
    <xf numFmtId="44" fontId="0" fillId="19" borderId="49" xfId="5" applyFont="1" applyFill="1" applyBorder="1"/>
    <xf numFmtId="44" fontId="0" fillId="0" borderId="0" xfId="5" applyFont="1"/>
    <xf numFmtId="1" fontId="0" fillId="19" borderId="0" xfId="0" applyNumberFormat="1" applyFill="1" applyAlignment="1">
      <alignment horizontal="center"/>
    </xf>
    <xf numFmtId="1" fontId="0" fillId="0" borderId="0" xfId="0" applyNumberFormat="1" applyAlignment="1">
      <alignment horizontal="center"/>
    </xf>
    <xf numFmtId="0" fontId="28" fillId="18" borderId="0" xfId="0" applyFont="1" applyFill="1" applyAlignment="1">
      <alignment wrapText="1"/>
    </xf>
    <xf numFmtId="1" fontId="28" fillId="18" borderId="0" xfId="0" applyNumberFormat="1" applyFont="1" applyFill="1" applyAlignment="1">
      <alignment horizontal="center" wrapText="1"/>
    </xf>
    <xf numFmtId="44" fontId="27" fillId="16" borderId="47" xfId="5" applyFont="1" applyFill="1" applyBorder="1" applyAlignment="1">
      <alignment wrapText="1"/>
    </xf>
    <xf numFmtId="44" fontId="27" fillId="16" borderId="49" xfId="5" applyFont="1" applyFill="1" applyBorder="1" applyAlignment="1">
      <alignment wrapText="1"/>
    </xf>
    <xf numFmtId="169" fontId="28" fillId="18" borderId="0" xfId="5" applyNumberFormat="1" applyFont="1" applyFill="1" applyAlignment="1">
      <alignment horizontal="center" wrapText="1"/>
    </xf>
    <xf numFmtId="169" fontId="0" fillId="19" borderId="0" xfId="5" applyNumberFormat="1" applyFont="1" applyFill="1" applyAlignment="1">
      <alignment horizontal="right" indent="1"/>
    </xf>
    <xf numFmtId="169" fontId="0" fillId="0" borderId="0" xfId="5" applyNumberFormat="1" applyFont="1" applyAlignment="1">
      <alignment horizontal="right" indent="1"/>
    </xf>
    <xf numFmtId="44" fontId="27" fillId="16" borderId="48" xfId="5" applyFont="1" applyFill="1" applyBorder="1" applyAlignment="1">
      <alignment wrapText="1"/>
    </xf>
    <xf numFmtId="44" fontId="0" fillId="19" borderId="48" xfId="5" applyFont="1" applyFill="1" applyBorder="1"/>
    <xf numFmtId="44" fontId="0" fillId="19" borderId="0" xfId="5" applyFont="1" applyFill="1" applyBorder="1"/>
    <xf numFmtId="44" fontId="0" fillId="19" borderId="52" xfId="5" applyFont="1" applyFill="1" applyBorder="1"/>
    <xf numFmtId="44" fontId="0" fillId="19" borderId="53" xfId="5" applyFont="1" applyFill="1" applyBorder="1"/>
    <xf numFmtId="44" fontId="18" fillId="7" borderId="54" xfId="5" applyFont="1" applyFill="1" applyBorder="1"/>
    <xf numFmtId="1" fontId="0" fillId="17" borderId="50" xfId="5" applyNumberFormat="1" applyFont="1" applyFill="1" applyBorder="1" applyAlignment="1" applyProtection="1">
      <alignment horizontal="center"/>
      <protection locked="0"/>
    </xf>
    <xf numFmtId="0" fontId="31" fillId="17" borderId="50" xfId="0" applyFont="1" applyFill="1" applyBorder="1" applyProtection="1">
      <protection locked="0"/>
    </xf>
    <xf numFmtId="44" fontId="0" fillId="17" borderId="50" xfId="5" applyFont="1" applyFill="1" applyBorder="1" applyProtection="1">
      <protection locked="0"/>
    </xf>
    <xf numFmtId="0" fontId="5" fillId="2" borderId="0" xfId="2" applyFont="1" applyFill="1" applyAlignment="1">
      <alignment horizontal="center" vertical="top"/>
    </xf>
    <xf numFmtId="0" fontId="2" fillId="0" borderId="0" xfId="0" applyFont="1"/>
    <xf numFmtId="0" fontId="3" fillId="0" borderId="4" xfId="2" applyBorder="1"/>
    <xf numFmtId="0" fontId="5" fillId="0" borderId="11" xfId="2" applyFont="1" applyBorder="1" applyAlignment="1">
      <alignment horizontal="right"/>
    </xf>
    <xf numFmtId="168" fontId="5" fillId="0" borderId="11" xfId="2" applyNumberFormat="1" applyFont="1" applyBorder="1"/>
    <xf numFmtId="0" fontId="5" fillId="0" borderId="2" xfId="2" applyFont="1" applyBorder="1" applyAlignment="1">
      <alignment horizontal="right"/>
    </xf>
    <xf numFmtId="168" fontId="5" fillId="0" borderId="2" xfId="2" applyNumberFormat="1" applyFont="1" applyBorder="1"/>
    <xf numFmtId="0" fontId="5" fillId="2" borderId="0" xfId="2" applyFont="1" applyFill="1" applyAlignment="1">
      <alignment horizontal="left" vertical="top"/>
    </xf>
    <xf numFmtId="0" fontId="5" fillId="2" borderId="2" xfId="2" applyFont="1" applyFill="1" applyBorder="1"/>
    <xf numFmtId="0" fontId="3" fillId="2" borderId="0" xfId="2" applyFill="1" applyAlignment="1">
      <alignment horizontal="left" vertical="top"/>
    </xf>
    <xf numFmtId="0" fontId="29" fillId="4" borderId="45" xfId="0" applyFont="1" applyFill="1" applyBorder="1"/>
    <xf numFmtId="0" fontId="30" fillId="4" borderId="46" xfId="2" applyFont="1" applyFill="1" applyBorder="1"/>
    <xf numFmtId="0" fontId="29" fillId="4" borderId="40" xfId="2" applyFont="1" applyFill="1" applyBorder="1"/>
    <xf numFmtId="0" fontId="29" fillId="4" borderId="0" xfId="2" applyFont="1" applyFill="1"/>
    <xf numFmtId="0" fontId="30" fillId="4" borderId="41" xfId="2" applyFont="1" applyFill="1" applyBorder="1"/>
    <xf numFmtId="0" fontId="13" fillId="4" borderId="40" xfId="2" applyFont="1" applyFill="1" applyBorder="1"/>
    <xf numFmtId="0" fontId="13" fillId="4" borderId="0" xfId="2" applyFont="1" applyFill="1"/>
    <xf numFmtId="0" fontId="13" fillId="4" borderId="42" xfId="2" applyFont="1" applyFill="1" applyBorder="1"/>
    <xf numFmtId="0" fontId="14" fillId="4" borderId="43" xfId="2" applyFont="1" applyFill="1" applyBorder="1"/>
    <xf numFmtId="0" fontId="3" fillId="0" borderId="0" xfId="2" applyAlignment="1">
      <alignment horizontal="left" vertical="top" wrapText="1"/>
    </xf>
    <xf numFmtId="167" fontId="6" fillId="0" borderId="0" xfId="3" applyNumberFormat="1" applyFont="1" applyFill="1" applyBorder="1" applyProtection="1">
      <protection locked="0"/>
    </xf>
    <xf numFmtId="167" fontId="0" fillId="0" borderId="0" xfId="0" applyNumberFormat="1"/>
    <xf numFmtId="0" fontId="29" fillId="4" borderId="38" xfId="2" applyFont="1" applyFill="1" applyBorder="1" applyAlignment="1">
      <alignment horizontal="left"/>
    </xf>
    <xf numFmtId="0" fontId="23" fillId="12" borderId="55" xfId="0" applyFont="1" applyFill="1" applyBorder="1" applyAlignment="1">
      <alignment horizontal="center" vertical="top" wrapText="1"/>
    </xf>
    <xf numFmtId="0" fontId="23" fillId="12" borderId="56" xfId="0" applyFont="1" applyFill="1" applyBorder="1" applyAlignment="1">
      <alignment horizontal="center" vertical="top" wrapText="1"/>
    </xf>
    <xf numFmtId="0" fontId="23" fillId="12" borderId="57" xfId="0" applyFont="1" applyFill="1" applyBorder="1" applyAlignment="1">
      <alignment horizontal="center" vertical="top" wrapText="1"/>
    </xf>
    <xf numFmtId="0" fontId="0" fillId="13" borderId="58" xfId="0" applyFill="1" applyBorder="1"/>
    <xf numFmtId="9" fontId="0" fillId="13" borderId="59" xfId="1" applyFont="1" applyFill="1" applyBorder="1" applyAlignment="1" applyProtection="1">
      <alignment horizontal="center"/>
    </xf>
    <xf numFmtId="0" fontId="0" fillId="0" borderId="58" xfId="0" applyBorder="1"/>
    <xf numFmtId="9" fontId="0" fillId="0" borderId="59" xfId="1" applyFont="1" applyBorder="1" applyAlignment="1" applyProtection="1">
      <alignment horizontal="center"/>
    </xf>
    <xf numFmtId="0" fontId="0" fillId="13" borderId="60" xfId="0" applyFill="1" applyBorder="1"/>
    <xf numFmtId="0" fontId="0" fillId="13" borderId="61" xfId="0" applyFill="1" applyBorder="1"/>
    <xf numFmtId="164" fontId="0" fillId="13" borderId="61" xfId="0" applyNumberFormat="1" applyFill="1" applyBorder="1" applyAlignment="1">
      <alignment horizontal="center"/>
    </xf>
    <xf numFmtId="9" fontId="0" fillId="13" borderId="62" xfId="1" applyFont="1" applyFill="1" applyBorder="1" applyAlignment="1" applyProtection="1">
      <alignment horizontal="center"/>
    </xf>
    <xf numFmtId="169" fontId="6" fillId="8" borderId="9" xfId="3" applyNumberFormat="1" applyFont="1" applyFill="1" applyBorder="1" applyProtection="1">
      <protection locked="0"/>
    </xf>
    <xf numFmtId="169" fontId="5" fillId="0" borderId="9" xfId="2" applyNumberFormat="1" applyFont="1" applyBorder="1"/>
    <xf numFmtId="169" fontId="5" fillId="11" borderId="9" xfId="3" applyNumberFormat="1" applyFont="1" applyFill="1" applyBorder="1" applyProtection="1"/>
    <xf numFmtId="169" fontId="5" fillId="11" borderId="9" xfId="2" applyNumberFormat="1" applyFont="1" applyFill="1" applyBorder="1"/>
    <xf numFmtId="169" fontId="5" fillId="15" borderId="9" xfId="2" applyNumberFormat="1" applyFont="1" applyFill="1" applyBorder="1"/>
    <xf numFmtId="169" fontId="14" fillId="4" borderId="17" xfId="2" applyNumberFormat="1" applyFont="1" applyFill="1" applyBorder="1"/>
    <xf numFmtId="169" fontId="3" fillId="4" borderId="17" xfId="3" applyNumberFormat="1" applyFont="1" applyFill="1" applyBorder="1" applyProtection="1"/>
    <xf numFmtId="169" fontId="3" fillId="4" borderId="16" xfId="2" applyNumberFormat="1" applyFill="1" applyBorder="1"/>
    <xf numFmtId="169" fontId="3" fillId="4" borderId="17" xfId="2" applyNumberFormat="1" applyFill="1" applyBorder="1"/>
    <xf numFmtId="169" fontId="13" fillId="15" borderId="31" xfId="2" applyNumberFormat="1" applyFont="1" applyFill="1" applyBorder="1"/>
    <xf numFmtId="169" fontId="13" fillId="4" borderId="24" xfId="2" applyNumberFormat="1" applyFont="1" applyFill="1" applyBorder="1" applyAlignment="1">
      <alignment wrapText="1"/>
    </xf>
    <xf numFmtId="169" fontId="5" fillId="4" borderId="17" xfId="2" applyNumberFormat="1" applyFont="1" applyFill="1" applyBorder="1"/>
    <xf numFmtId="169" fontId="5" fillId="2" borderId="37" xfId="3" applyNumberFormat="1" applyFont="1" applyFill="1" applyBorder="1" applyProtection="1"/>
    <xf numFmtId="169" fontId="13" fillId="4" borderId="41" xfId="2" applyNumberFormat="1" applyFont="1" applyFill="1" applyBorder="1"/>
    <xf numFmtId="169" fontId="13" fillId="15" borderId="44" xfId="2" applyNumberFormat="1" applyFont="1" applyFill="1" applyBorder="1"/>
    <xf numFmtId="0" fontId="3" fillId="0" borderId="0" xfId="0" applyFont="1"/>
    <xf numFmtId="0" fontId="3" fillId="2" borderId="7" xfId="2" applyFill="1"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4" fillId="2" borderId="0" xfId="2" applyFont="1" applyFill="1" applyAlignment="1">
      <alignment horizontal="center"/>
    </xf>
    <xf numFmtId="0" fontId="0" fillId="0" borderId="0" xfId="0" applyAlignment="1">
      <alignment horizontal="center"/>
    </xf>
    <xf numFmtId="0" fontId="0" fillId="0" borderId="0" xfId="0" applyAlignment="1">
      <alignment vertical="top" wrapText="1"/>
    </xf>
    <xf numFmtId="0" fontId="5" fillId="2" borderId="0" xfId="2" applyFont="1" applyFill="1" applyAlignment="1">
      <alignment horizontal="center" vertical="top"/>
    </xf>
    <xf numFmtId="0" fontId="5" fillId="4" borderId="18" xfId="2" applyFont="1" applyFill="1" applyBorder="1" applyAlignment="1">
      <alignment horizontal="right"/>
    </xf>
    <xf numFmtId="0" fontId="3" fillId="4" borderId="19" xfId="2" applyFill="1" applyBorder="1" applyAlignment="1">
      <alignment horizontal="right"/>
    </xf>
    <xf numFmtId="0" fontId="3" fillId="4" borderId="25" xfId="2" applyFill="1" applyBorder="1" applyAlignment="1">
      <alignment horizontal="right"/>
    </xf>
    <xf numFmtId="0" fontId="3" fillId="4" borderId="15" xfId="2" applyFill="1" applyBorder="1" applyAlignment="1">
      <alignment horizontal="right"/>
    </xf>
    <xf numFmtId="0" fontId="3" fillId="4" borderId="14" xfId="2" applyFill="1" applyBorder="1" applyAlignment="1">
      <alignment horizontal="right"/>
    </xf>
    <xf numFmtId="0" fontId="3" fillId="2" borderId="7" xfId="2" applyFill="1" applyBorder="1" applyAlignment="1">
      <alignment horizontal="right"/>
    </xf>
    <xf numFmtId="0" fontId="0" fillId="0" borderId="8" xfId="0" applyBorder="1" applyAlignment="1">
      <alignment horizontal="right"/>
    </xf>
    <xf numFmtId="0" fontId="0" fillId="0" borderId="9" xfId="0" applyBorder="1" applyAlignment="1">
      <alignment horizontal="right"/>
    </xf>
    <xf numFmtId="0" fontId="12" fillId="0" borderId="8" xfId="0" applyFont="1" applyBorder="1" applyAlignment="1">
      <alignment horizontal="right"/>
    </xf>
    <xf numFmtId="0" fontId="5" fillId="3" borderId="7" xfId="2" applyFont="1" applyFill="1" applyBorder="1" applyAlignment="1">
      <alignment horizontal="right"/>
    </xf>
    <xf numFmtId="0" fontId="0" fillId="3" borderId="8" xfId="0" applyFill="1" applyBorder="1" applyAlignment="1">
      <alignment horizontal="right"/>
    </xf>
    <xf numFmtId="0" fontId="0" fillId="3" borderId="9" xfId="0" applyFill="1" applyBorder="1" applyAlignment="1">
      <alignment horizontal="right"/>
    </xf>
    <xf numFmtId="0" fontId="5" fillId="2" borderId="6" xfId="2" applyFont="1" applyFill="1" applyBorder="1" applyAlignment="1">
      <alignment horizontal="center" vertical="top"/>
    </xf>
    <xf numFmtId="0" fontId="0" fillId="0" borderId="6" xfId="0" applyBorder="1" applyAlignment="1">
      <alignment horizontal="center"/>
    </xf>
    <xf numFmtId="164" fontId="0" fillId="3" borderId="0" xfId="0" applyNumberFormat="1" applyFill="1" applyAlignment="1">
      <alignment vertical="center" wrapText="1"/>
    </xf>
    <xf numFmtId="0" fontId="0" fillId="0" borderId="0" xfId="0" applyAlignment="1">
      <alignment wrapText="1"/>
    </xf>
    <xf numFmtId="0" fontId="22" fillId="8" borderId="35" xfId="0" applyFont="1" applyFill="1" applyBorder="1" applyAlignment="1">
      <alignment horizontal="center"/>
    </xf>
    <xf numFmtId="0" fontId="22" fillId="8" borderId="51" xfId="0" applyFont="1" applyFill="1" applyBorder="1" applyAlignment="1">
      <alignment horizontal="center"/>
    </xf>
    <xf numFmtId="0" fontId="2" fillId="2" borderId="22" xfId="2" applyFont="1" applyFill="1" applyBorder="1" applyAlignment="1">
      <alignment horizontal="center" vertical="top" wrapText="1"/>
    </xf>
    <xf numFmtId="0" fontId="5" fillId="4" borderId="4" xfId="2" applyFont="1" applyFill="1" applyBorder="1" applyAlignment="1">
      <alignment horizontal="right"/>
    </xf>
    <xf numFmtId="0" fontId="3" fillId="4" borderId="0" xfId="2" applyFill="1" applyAlignment="1">
      <alignment horizontal="right"/>
    </xf>
    <xf numFmtId="0" fontId="17" fillId="0" borderId="0" xfId="2" applyFont="1" applyAlignment="1">
      <alignment horizontal="left" wrapText="1"/>
    </xf>
    <xf numFmtId="0" fontId="21" fillId="0" borderId="2" xfId="2" applyFont="1" applyBorder="1" applyAlignment="1">
      <alignment horizontal="left"/>
    </xf>
    <xf numFmtId="0" fontId="5" fillId="4" borderId="10" xfId="2" applyFont="1" applyFill="1" applyBorder="1" applyAlignment="1">
      <alignment horizontal="right"/>
    </xf>
    <xf numFmtId="0" fontId="5" fillId="4" borderId="11" xfId="2" applyFont="1" applyFill="1" applyBorder="1" applyAlignment="1">
      <alignment horizontal="right"/>
    </xf>
    <xf numFmtId="0" fontId="5" fillId="2" borderId="35" xfId="2" applyFont="1" applyFill="1" applyBorder="1" applyAlignment="1">
      <alignment horizontal="right"/>
    </xf>
    <xf numFmtId="0" fontId="3" fillId="2" borderId="36" xfId="2" applyFill="1" applyBorder="1" applyAlignment="1">
      <alignment horizontal="right"/>
    </xf>
    <xf numFmtId="0" fontId="17" fillId="0" borderId="2" xfId="2" applyFont="1" applyBorder="1" applyAlignment="1">
      <alignment horizontal="center" vertical="top" wrapText="1"/>
    </xf>
    <xf numFmtId="0" fontId="17" fillId="0" borderId="0" xfId="2" applyFont="1" applyAlignment="1">
      <alignment horizontal="center" vertical="top" wrapText="1"/>
    </xf>
    <xf numFmtId="0" fontId="1" fillId="2" borderId="22" xfId="2" applyFont="1" applyFill="1" applyBorder="1" applyAlignment="1">
      <alignment horizontal="left" vertical="top" wrapText="1"/>
    </xf>
    <xf numFmtId="0" fontId="1" fillId="2" borderId="0" xfId="2" applyFont="1" applyFill="1" applyAlignment="1">
      <alignment horizontal="left" vertical="top" wrapText="1"/>
    </xf>
    <xf numFmtId="0" fontId="5" fillId="0" borderId="63" xfId="2" applyFont="1" applyBorder="1" applyAlignment="1">
      <alignment horizontal="left" vertical="top" wrapText="1"/>
    </xf>
    <xf numFmtId="0" fontId="5" fillId="0" borderId="0" xfId="2" applyFont="1" applyAlignment="1">
      <alignment horizontal="left" vertical="top" wrapText="1"/>
    </xf>
    <xf numFmtId="0" fontId="13" fillId="15" borderId="35" xfId="2" applyFont="1" applyFill="1" applyBorder="1" applyAlignment="1">
      <alignment horizontal="left" wrapText="1"/>
    </xf>
    <xf numFmtId="0" fontId="13" fillId="15" borderId="36" xfId="2" applyFont="1" applyFill="1" applyBorder="1" applyAlignment="1">
      <alignment horizontal="left" wrapText="1"/>
    </xf>
    <xf numFmtId="0" fontId="13" fillId="15" borderId="51" xfId="2" applyFont="1" applyFill="1" applyBorder="1" applyAlignment="1">
      <alignment horizontal="left" wrapText="1"/>
    </xf>
    <xf numFmtId="0" fontId="3" fillId="0" borderId="0" xfId="2" applyAlignment="1">
      <alignment horizontal="left"/>
    </xf>
    <xf numFmtId="0" fontId="32" fillId="2" borderId="0" xfId="2" applyFont="1" applyFill="1" applyAlignment="1">
      <alignment horizontal="left"/>
    </xf>
    <xf numFmtId="0" fontId="3" fillId="2" borderId="0" xfId="2" applyFill="1" applyAlignment="1">
      <alignment horizontal="left"/>
    </xf>
    <xf numFmtId="0" fontId="5" fillId="0" borderId="7" xfId="2" applyFont="1" applyBorder="1" applyAlignment="1">
      <alignment horizontal="right"/>
    </xf>
    <xf numFmtId="0" fontId="5" fillId="0" borderId="8" xfId="2" applyFont="1" applyBorder="1" applyAlignment="1">
      <alignment horizontal="right"/>
    </xf>
    <xf numFmtId="0" fontId="2" fillId="2" borderId="0" xfId="2" applyFont="1" applyFill="1" applyAlignment="1">
      <alignment horizontal="right" vertical="top" wrapText="1"/>
    </xf>
    <xf numFmtId="0" fontId="5" fillId="11" borderId="7" xfId="2" applyFont="1" applyFill="1" applyBorder="1" applyAlignment="1">
      <alignment horizontal="right"/>
    </xf>
    <xf numFmtId="0" fontId="5" fillId="11" borderId="8" xfId="2" applyFont="1" applyFill="1" applyBorder="1" applyAlignment="1">
      <alignment horizontal="right"/>
    </xf>
    <xf numFmtId="0" fontId="3" fillId="2" borderId="8" xfId="2" applyFill="1" applyBorder="1" applyAlignment="1">
      <alignment horizontal="left"/>
    </xf>
    <xf numFmtId="0" fontId="3" fillId="0" borderId="0" xfId="2" applyAlignment="1"/>
    <xf numFmtId="0" fontId="0" fillId="0" borderId="0" xfId="0" applyAlignment="1"/>
  </cellXfs>
  <cellStyles count="8">
    <cellStyle name="Currency" xfId="5" builtinId="4"/>
    <cellStyle name="Currency 2" xfId="3" xr:uid="{7225867E-8B2F-43B8-85CC-E7881409DD4A}"/>
    <cellStyle name="Good" xfId="6" builtinId="26"/>
    <cellStyle name="Neutral" xfId="7" builtinId="28"/>
    <cellStyle name="Normal" xfId="0" builtinId="0"/>
    <cellStyle name="Normal 2" xfId="2" xr:uid="{A77E406D-94D1-4C3B-AECA-9B419D9C1E1E}"/>
    <cellStyle name="Percent" xfId="1" builtinId="5"/>
    <cellStyle name="Percent 2" xfId="4" xr:uid="{A81696D7-DE0D-48D7-AA65-A64F1BF6DD71}"/>
  </cellStyles>
  <dxfs count="27">
    <dxf>
      <font>
        <color rgb="FF9C0006"/>
      </font>
      <fill>
        <patternFill>
          <bgColor rgb="FFFFC7CE"/>
        </patternFill>
      </fill>
    </dxf>
    <dxf>
      <font>
        <color rgb="FF9C0006"/>
      </font>
      <fill>
        <patternFill>
          <bgColor rgb="FFFFC7CE"/>
        </patternFill>
      </fill>
    </dxf>
    <dxf>
      <font>
        <color rgb="FF0000FF"/>
      </font>
      <fill>
        <patternFill>
          <bgColor theme="4" tint="0.59996337778862885"/>
        </patternFill>
      </fill>
      <border>
        <left style="thin">
          <color auto="1"/>
        </left>
        <right style="thin">
          <color auto="1"/>
        </right>
        <top style="thin">
          <color auto="1"/>
        </top>
        <bottom style="thin">
          <color auto="1"/>
        </bottom>
        <vertical/>
        <horizontal/>
      </border>
    </dxf>
    <dxf>
      <font>
        <color rgb="FFFF0000"/>
      </font>
      <fill>
        <patternFill>
          <bgColor theme="7" tint="0.79998168889431442"/>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b/>
        <i val="0"/>
        <color rgb="FF9C0006"/>
      </font>
      <fill>
        <patternFill>
          <bgColor rgb="FFFFC7CE"/>
        </patternFill>
      </fill>
    </dxf>
    <dxf>
      <font>
        <b/>
        <i val="0"/>
        <color rgb="FFC00000"/>
      </font>
    </dxf>
    <dxf>
      <font>
        <color rgb="FF9C0006"/>
      </font>
      <fill>
        <patternFill>
          <bgColor rgb="FFFFC7CE"/>
        </patternFill>
      </fill>
    </dxf>
    <dxf>
      <font>
        <b/>
        <i val="0"/>
      </font>
      <fill>
        <patternFill>
          <bgColor theme="5" tint="0.39994506668294322"/>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ont>
        <color rgb="FF9C0006"/>
      </font>
      <fill>
        <patternFill>
          <bgColor rgb="FFFFC7CE"/>
        </patternFill>
      </fill>
    </dxf>
    <dxf>
      <font>
        <b/>
        <i val="0"/>
        <color rgb="FF9C0006"/>
      </font>
      <fill>
        <patternFill>
          <bgColor rgb="FFFFC7CE"/>
        </patternFill>
      </fill>
    </dxf>
    <dxf>
      <font>
        <b/>
        <i val="0"/>
        <color rgb="FF0000FF"/>
      </font>
      <fill>
        <patternFill>
          <bgColor theme="0" tint="-4.9989318521683403E-2"/>
        </patternFill>
      </fill>
    </dxf>
    <dxf>
      <font>
        <b/>
        <i val="0"/>
        <color rgb="FF9C0006"/>
      </font>
      <fill>
        <patternFill>
          <bgColor rgb="FFFFC7CE"/>
        </patternFill>
      </fill>
    </dxf>
    <dxf>
      <font>
        <b/>
        <i val="0"/>
        <color rgb="FF0000FF"/>
      </font>
      <fill>
        <patternFill patternType="solid">
          <bgColor theme="0" tint="-4.9989318521683403E-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FF0000"/>
      </font>
      <fill>
        <patternFill>
          <bgColor theme="7" tint="0.79998168889431442"/>
        </patternFill>
      </fill>
    </dxf>
    <dxf>
      <font>
        <color rgb="FFFF0000"/>
      </font>
    </dxf>
    <dxf>
      <font>
        <color rgb="FFFF0000"/>
      </font>
    </dxf>
    <dxf>
      <font>
        <color rgb="FFFF0000"/>
      </font>
    </dxf>
    <dxf>
      <font>
        <color theme="5"/>
      </font>
    </dxf>
  </dxfs>
  <tableStyles count="0" defaultTableStyle="TableStyleMedium2" defaultPivotStyle="PivotStyleLight16"/>
  <colors>
    <mruColors>
      <color rgb="FFFFFF99"/>
      <color rgb="FF0000FF"/>
      <color rgb="FF9C0006"/>
      <color rgb="FFFFC7CE"/>
      <color rgb="FFFFEC7E"/>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microsoft.com/office/2023/09/relationships/Python" Target="python.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7</xdr:col>
      <xdr:colOff>19050</xdr:colOff>
      <xdr:row>0</xdr:row>
      <xdr:rowOff>133350</xdr:rowOff>
    </xdr:from>
    <xdr:to>
      <xdr:col>8</xdr:col>
      <xdr:colOff>1628775</xdr:colOff>
      <xdr:row>18</xdr:row>
      <xdr:rowOff>47625</xdr:rowOff>
    </xdr:to>
    <xdr:sp macro="" textlink="">
      <xdr:nvSpPr>
        <xdr:cNvPr id="2" name="TextBox 1">
          <a:extLst>
            <a:ext uri="{FF2B5EF4-FFF2-40B4-BE49-F238E27FC236}">
              <a16:creationId xmlns:a16="http://schemas.microsoft.com/office/drawing/2014/main" id="{26EBBA18-9267-4162-8A2B-0424E7879553}"/>
            </a:ext>
          </a:extLst>
        </xdr:cNvPr>
        <xdr:cNvSpPr txBox="1"/>
      </xdr:nvSpPr>
      <xdr:spPr>
        <a:xfrm>
          <a:off x="6743700" y="133350"/>
          <a:ext cx="5553075" cy="3838575"/>
        </a:xfrm>
        <a:prstGeom prst="rect">
          <a:avLst/>
        </a:prstGeom>
        <a:solidFill>
          <a:schemeClr val="tx2">
            <a:lumMod val="25000"/>
            <a:lumOff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Rule 1: </a:t>
          </a:r>
          <a:r>
            <a:rPr lang="en-US" sz="1100"/>
            <a:t>PCEF funds of up to 30% of Project Total (PCEF Investment + Energy Savings Incentives) may be spent on critical repair as defined in the PCEF Eligible Measures. </a:t>
          </a:r>
        </a:p>
        <a:p>
          <a:endParaRPr lang="en-US" sz="1100"/>
        </a:p>
        <a:p>
          <a:r>
            <a:rPr lang="en-US" sz="1100" b="1"/>
            <a:t>Rule 2: </a:t>
          </a:r>
          <a:r>
            <a:rPr lang="en-US" sz="1100"/>
            <a:t>This amount will not exceed 50% of the PCEF investment on the project. </a:t>
          </a:r>
        </a:p>
        <a:p>
          <a:endParaRPr lang="en-US" sz="1100"/>
        </a:p>
        <a:p>
          <a:r>
            <a:rPr lang="en-US" sz="1100" u="sng"/>
            <a:t>Maximum PCEF Critical Repair Allowance per Home is the lesser of: </a:t>
          </a:r>
        </a:p>
        <a:p>
          <a:endParaRPr lang="en-US" sz="1100"/>
        </a:p>
        <a:p>
          <a:r>
            <a:rPr lang="en-US" sz="1100"/>
            <a:t>Calc for Test #1:  (Cost of Project EE Measures / 70%) x 30%</a:t>
          </a:r>
        </a:p>
        <a:p>
          <a:r>
            <a:rPr lang="en-US" sz="1100"/>
            <a:t>  - or -             </a:t>
          </a:r>
        </a:p>
        <a:p>
          <a:r>
            <a:rPr lang="en-US" sz="1100"/>
            <a:t>Calc for Test #2: Cost of Project EE Measures - Other EE incentives or rebates</a:t>
          </a:r>
        </a:p>
        <a:p>
          <a:r>
            <a:rPr lang="en-US" sz="1100" baseline="0"/>
            <a:t>  - or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Calc for Test #3: Cost of Project EE measures + Cost of Critical Repairs - </a:t>
          </a:r>
          <a:r>
            <a:rPr lang="en-US" sz="1100">
              <a:solidFill>
                <a:schemeClr val="dk1"/>
              </a:solidFill>
              <a:effectLst/>
              <a:latin typeface="+mn-lt"/>
              <a:ea typeface="+mn-ea"/>
              <a:cs typeface="+mn-cs"/>
            </a:rPr>
            <a:t>Other EE incentives or rebates</a:t>
          </a:r>
          <a:endParaRPr lang="en-US">
            <a:effectLst/>
          </a:endParaRPr>
        </a:p>
        <a:p>
          <a:endParaRPr lang="en-US" sz="1100"/>
        </a:p>
        <a:p>
          <a:endParaRPr lang="en-US" sz="1100"/>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6294</xdr:colOff>
      <xdr:row>5</xdr:row>
      <xdr:rowOff>20900</xdr:rowOff>
    </xdr:from>
    <xdr:to>
      <xdr:col>20</xdr:col>
      <xdr:colOff>11907</xdr:colOff>
      <xdr:row>26</xdr:row>
      <xdr:rowOff>0</xdr:rowOff>
    </xdr:to>
    <xdr:sp macro="" textlink="">
      <xdr:nvSpPr>
        <xdr:cNvPr id="2" name="TextBox 1">
          <a:extLst>
            <a:ext uri="{FF2B5EF4-FFF2-40B4-BE49-F238E27FC236}">
              <a16:creationId xmlns:a16="http://schemas.microsoft.com/office/drawing/2014/main" id="{DB5C3E16-3A18-43E9-90CC-B3EBBAAE1569}"/>
            </a:ext>
          </a:extLst>
        </xdr:cNvPr>
        <xdr:cNvSpPr txBox="1"/>
      </xdr:nvSpPr>
      <xdr:spPr>
        <a:xfrm>
          <a:off x="11948263" y="1497275"/>
          <a:ext cx="6994582" cy="4455850"/>
        </a:xfrm>
        <a:prstGeom prst="rect">
          <a:avLst/>
        </a:prstGeom>
        <a:solidFill>
          <a:schemeClr val="bg2">
            <a:lumMod val="90000"/>
          </a:schemeClr>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Table 1. PCEF Critical Repair Allowance &amp; Participation Rules</a:t>
          </a:r>
        </a:p>
        <a:p>
          <a:endParaRPr lang="en-US" sz="1400" b="1"/>
        </a:p>
        <a:p>
          <a:r>
            <a:rPr lang="en-US" sz="1300" b="1"/>
            <a:t>Report all project</a:t>
          </a:r>
          <a:r>
            <a:rPr lang="en-US" sz="1300" b="1" baseline="0"/>
            <a:t> costs including energy savings measure costs (EE), any additional contingency costs, critical repairs costs (CR) as well as estimated energy incentives or rebates (match funds). </a:t>
          </a:r>
        </a:p>
        <a:p>
          <a:endParaRPr lang="en-US" sz="1300" b="1" baseline="0"/>
        </a:p>
        <a:p>
          <a:r>
            <a:rPr lang="en-US" sz="1300" b="1" baseline="0"/>
            <a:t>Do not include costs for critical repairs that are being funded by outside programs or organizations.</a:t>
          </a:r>
        </a:p>
        <a:p>
          <a:endParaRPr lang="en-US" sz="1300" b="1" baseline="0"/>
        </a:p>
        <a:p>
          <a:r>
            <a:rPr lang="en-US" sz="1300" b="0" baseline="0"/>
            <a:t>Energy Friendly Homes Program will fund EE costs after deducting any energy incentives. If additional funds are available in the Program Tier, the program will fund CR using the following limits:</a:t>
          </a:r>
        </a:p>
        <a:p>
          <a:endParaRPr lang="en-US" sz="1300" b="1"/>
        </a:p>
        <a:p>
          <a:r>
            <a:rPr lang="en-US" sz="1300" b="1"/>
            <a:t>Rule 1: </a:t>
          </a:r>
          <a:r>
            <a:rPr lang="en-US" sz="1300"/>
            <a:t>Program funded</a:t>
          </a:r>
          <a:r>
            <a:rPr lang="en-US" sz="1300" baseline="0"/>
            <a:t> CR is not more than 30% of total project cost (EE + Energy Incentives + CR)</a:t>
          </a:r>
          <a:r>
            <a:rPr lang="en-US" sz="1300"/>
            <a:t>.</a:t>
          </a:r>
        </a:p>
        <a:p>
          <a:endParaRPr lang="en-US" sz="1300"/>
        </a:p>
        <a:p>
          <a:r>
            <a:rPr lang="en-US" sz="1300" b="1"/>
            <a:t>Rule 2: </a:t>
          </a:r>
          <a:r>
            <a:rPr lang="en-US" sz="1300" b="0"/>
            <a:t>Program funded CR is not more than 50% of the total program funds on the project (EE + CR). </a:t>
          </a:r>
        </a:p>
        <a:p>
          <a:endParaRPr lang="en-US" sz="1300"/>
        </a:p>
        <a:p>
          <a:r>
            <a:rPr lang="en-US" sz="1300"/>
            <a:t>Energy Friendly Homes</a:t>
          </a:r>
          <a:r>
            <a:rPr lang="en-US" sz="1300" baseline="0"/>
            <a:t> Program will never pay project costs above the maximum funding level for each Program Tier (see Table 2.)</a:t>
          </a:r>
        </a:p>
        <a:p>
          <a:endParaRPr lang="en-US" sz="1300" baseline="0"/>
        </a:p>
        <a:p>
          <a:r>
            <a:rPr lang="en-US" sz="1300" baseline="0"/>
            <a:t>For Tiers 3 &amp; 4, clients are required to match program funding (client co-funding).  Energy incentives and rebates can be used to meet co-funding requirement.</a:t>
          </a:r>
          <a:endParaRPr lang="en-US" sz="13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30480</xdr:colOff>
      <xdr:row>14</xdr:row>
      <xdr:rowOff>19050</xdr:rowOff>
    </xdr:from>
    <xdr:to>
      <xdr:col>5</xdr:col>
      <xdr:colOff>573405</xdr:colOff>
      <xdr:row>18</xdr:row>
      <xdr:rowOff>83820</xdr:rowOff>
    </xdr:to>
    <xdr:sp macro="" textlink="">
      <xdr:nvSpPr>
        <xdr:cNvPr id="3" name="TextBox 2">
          <a:extLst>
            <a:ext uri="{FF2B5EF4-FFF2-40B4-BE49-F238E27FC236}">
              <a16:creationId xmlns:a16="http://schemas.microsoft.com/office/drawing/2014/main" id="{D443AB20-231D-4260-8C26-A782884175F1}"/>
            </a:ext>
          </a:extLst>
        </xdr:cNvPr>
        <xdr:cNvSpPr txBox="1"/>
      </xdr:nvSpPr>
      <xdr:spPr>
        <a:xfrm>
          <a:off x="4402455" y="2838450"/>
          <a:ext cx="3019425" cy="969645"/>
        </a:xfrm>
        <a:prstGeom prst="rect">
          <a:avLst/>
        </a:prstGeom>
        <a:solidFill>
          <a:schemeClr val="bg1">
            <a:lumMod val="95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At project completion:</a:t>
          </a:r>
        </a:p>
        <a:p>
          <a:pPr marL="171450" indent="-171450">
            <a:buFont typeface="Arial" panose="020B0604020202020204" pitchFamily="34" charset="0"/>
            <a:buChar char="•"/>
          </a:pPr>
          <a:r>
            <a:rPr lang="en-US" sz="1100" b="1"/>
            <a:t>Check all costs</a:t>
          </a:r>
        </a:p>
        <a:p>
          <a:pPr marL="171450" indent="-171450">
            <a:buFont typeface="Arial" panose="020B0604020202020204" pitchFamily="34" charset="0"/>
            <a:buChar char="•"/>
          </a:pPr>
          <a:r>
            <a:rPr lang="en-US" sz="1100" b="1"/>
            <a:t>Insert down payment amount</a:t>
          </a:r>
        </a:p>
        <a:p>
          <a:pPr marL="171450" indent="-171450">
            <a:buFont typeface="Arial" panose="020B0604020202020204" pitchFamily="34" charset="0"/>
            <a:buChar char="•"/>
          </a:pPr>
          <a:r>
            <a:rPr lang="en-US" sz="1100" b="1"/>
            <a:t>Verify ETO incentives</a:t>
          </a:r>
        </a:p>
        <a:p>
          <a:pPr marL="171450" indent="-171450">
            <a:buFont typeface="Arial" panose="020B0604020202020204" pitchFamily="34" charset="0"/>
            <a:buChar char="•"/>
          </a:pPr>
          <a:r>
            <a:rPr lang="en-US" sz="1100" b="1"/>
            <a:t>Confirm Client Contribution</a:t>
          </a:r>
        </a:p>
      </xdr:txBody>
    </xdr:sp>
    <xdr:clientData/>
  </xdr:twoCellAnchor>
  <xdr:twoCellAnchor>
    <xdr:from>
      <xdr:col>1</xdr:col>
      <xdr:colOff>95250</xdr:colOff>
      <xdr:row>13</xdr:row>
      <xdr:rowOff>19050</xdr:rowOff>
    </xdr:from>
    <xdr:to>
      <xdr:col>2</xdr:col>
      <xdr:colOff>748665</xdr:colOff>
      <xdr:row>17</xdr:row>
      <xdr:rowOff>1905</xdr:rowOff>
    </xdr:to>
    <xdr:sp macro="" textlink="">
      <xdr:nvSpPr>
        <xdr:cNvPr id="4" name="TextBox 3">
          <a:extLst>
            <a:ext uri="{FF2B5EF4-FFF2-40B4-BE49-F238E27FC236}">
              <a16:creationId xmlns:a16="http://schemas.microsoft.com/office/drawing/2014/main" id="{24356504-8727-42B1-916A-F8EADFE496F4}"/>
            </a:ext>
          </a:extLst>
        </xdr:cNvPr>
        <xdr:cNvSpPr txBox="1"/>
      </xdr:nvSpPr>
      <xdr:spPr>
        <a:xfrm>
          <a:off x="704850" y="2647950"/>
          <a:ext cx="3034665" cy="887730"/>
        </a:xfrm>
        <a:prstGeom prst="rect">
          <a:avLst/>
        </a:prstGeom>
        <a:solidFill>
          <a:schemeClr val="bg1">
            <a:lumMod val="95000"/>
          </a:schemeClr>
        </a:solidFill>
        <a:ln w="381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Following SOW Approval:</a:t>
          </a:r>
        </a:p>
        <a:p>
          <a:pPr marL="171450" indent="-171450">
            <a:buFont typeface="Arial" panose="020B0604020202020204" pitchFamily="34" charset="0"/>
            <a:buChar char="•"/>
          </a:pPr>
          <a:r>
            <a:rPr lang="en-US" sz="1100" b="1"/>
            <a:t>Copy/paste values </a:t>
          </a:r>
        </a:p>
        <a:p>
          <a:pPr marL="171450" indent="-171450">
            <a:buFont typeface="Arial" panose="020B0604020202020204" pitchFamily="34" charset="0"/>
            <a:buChar char="•"/>
          </a:pPr>
          <a:r>
            <a:rPr lang="en-US" sz="1100" b="1"/>
            <a:t>Save a screen shot</a:t>
          </a:r>
          <a:r>
            <a:rPr lang="en-US" sz="1100" b="1" baseline="0"/>
            <a:t> to project file and QC checklist </a:t>
          </a:r>
          <a:r>
            <a:rPr lang="en-US" sz="1100" b="1"/>
            <a: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CF2C5-6B14-4BC7-873A-27240784FC68}">
  <sheetPr codeName="Sheet1"/>
  <dimension ref="A1:Z50"/>
  <sheetViews>
    <sheetView workbookViewId="0"/>
  </sheetViews>
  <sheetFormatPr defaultColWidth="12.42578125" defaultRowHeight="15.75"/>
  <cols>
    <col min="1" max="1" width="3.42578125" style="4" customWidth="1"/>
    <col min="2" max="2" width="42.85546875" style="4" bestFit="1" customWidth="1"/>
    <col min="3" max="3" width="13.42578125" style="4" customWidth="1"/>
    <col min="4" max="4" width="11.42578125" style="4" customWidth="1"/>
    <col min="5" max="5" width="13.42578125" style="4" customWidth="1"/>
    <col min="6" max="6" width="4" style="4" customWidth="1"/>
    <col min="7" max="7" width="12.42578125" style="4"/>
    <col min="8" max="8" width="59.140625" style="4" bestFit="1" customWidth="1"/>
    <col min="9" max="9" width="24.42578125" style="4" customWidth="1"/>
    <col min="10" max="16384" width="12.42578125" style="4"/>
  </cols>
  <sheetData>
    <row r="1" spans="1:26">
      <c r="A1" s="1"/>
      <c r="B1" s="2"/>
      <c r="C1" s="2"/>
      <c r="D1" s="2"/>
      <c r="E1" s="2"/>
      <c r="F1" s="3"/>
    </row>
    <row r="2" spans="1:26" ht="18.75">
      <c r="A2" s="5"/>
      <c r="B2" s="217" t="s">
        <v>0</v>
      </c>
      <c r="C2" s="218"/>
      <c r="D2" s="218"/>
      <c r="E2" s="218"/>
      <c r="F2" s="6"/>
      <c r="H2"/>
      <c r="I2"/>
      <c r="J2"/>
      <c r="P2" s="219"/>
      <c r="Q2" s="219"/>
      <c r="R2" s="219"/>
      <c r="S2" s="219"/>
      <c r="T2" s="219"/>
      <c r="U2" s="219"/>
      <c r="V2" s="219"/>
      <c r="W2" s="219"/>
      <c r="X2" s="219"/>
      <c r="Y2" s="219"/>
      <c r="Z2" s="219"/>
    </row>
    <row r="3" spans="1:26" ht="16.350000000000001" customHeight="1">
      <c r="A3" s="5"/>
      <c r="B3" s="7"/>
      <c r="C3" s="7"/>
      <c r="D3" s="7"/>
      <c r="E3" s="7"/>
      <c r="F3" s="6"/>
      <c r="H3"/>
      <c r="I3"/>
      <c r="J3"/>
    </row>
    <row r="4" spans="1:26" ht="23.25" customHeight="1">
      <c r="A4" s="5"/>
      <c r="B4" s="220" t="s">
        <v>1</v>
      </c>
      <c r="C4" s="218"/>
      <c r="D4" s="218"/>
      <c r="E4" s="218"/>
      <c r="F4" s="6"/>
      <c r="H4"/>
      <c r="I4"/>
      <c r="J4"/>
    </row>
    <row r="5" spans="1:26" ht="23.25" customHeight="1">
      <c r="A5" s="5"/>
      <c r="B5" s="80" t="s">
        <v>2</v>
      </c>
      <c r="C5"/>
      <c r="D5"/>
      <c r="E5"/>
      <c r="F5" s="6"/>
      <c r="H5"/>
      <c r="I5"/>
      <c r="J5"/>
    </row>
    <row r="6" spans="1:26" ht="23.25" customHeight="1">
      <c r="A6" s="5"/>
      <c r="B6" s="138"/>
      <c r="C6" s="139"/>
      <c r="D6" s="139"/>
      <c r="E6" s="139"/>
      <c r="F6" s="6"/>
      <c r="H6"/>
      <c r="I6"/>
      <c r="J6"/>
    </row>
    <row r="7" spans="1:26" ht="15.75" customHeight="1">
      <c r="A7" s="5"/>
      <c r="B7" s="214" t="s">
        <v>3</v>
      </c>
      <c r="C7" s="215"/>
      <c r="D7" s="216"/>
      <c r="E7" s="78" t="s">
        <v>4</v>
      </c>
      <c r="F7" s="6"/>
      <c r="H7"/>
      <c r="I7"/>
      <c r="J7"/>
    </row>
    <row r="8" spans="1:26" ht="15.75" customHeight="1">
      <c r="A8" s="5"/>
      <c r="B8" s="138"/>
      <c r="C8" s="139"/>
      <c r="D8" s="139"/>
      <c r="E8" s="139"/>
      <c r="F8" s="6"/>
      <c r="H8"/>
      <c r="I8"/>
      <c r="J8"/>
    </row>
    <row r="9" spans="1:26" ht="15.75" customHeight="1">
      <c r="A9" s="5"/>
      <c r="B9" s="214" t="s">
        <v>5</v>
      </c>
      <c r="C9" s="215"/>
      <c r="D9" s="216"/>
      <c r="E9" s="79">
        <v>41000</v>
      </c>
      <c r="F9" s="6"/>
      <c r="H9"/>
      <c r="I9"/>
      <c r="J9"/>
      <c r="O9"/>
      <c r="P9"/>
      <c r="Q9"/>
      <c r="R9"/>
      <c r="S9"/>
      <c r="T9"/>
      <c r="U9"/>
      <c r="V9"/>
      <c r="W9"/>
    </row>
    <row r="10" spans="1:26">
      <c r="A10" s="5"/>
      <c r="B10" s="7"/>
      <c r="C10" s="7"/>
      <c r="D10" s="7"/>
      <c r="F10" s="6"/>
      <c r="H10"/>
      <c r="I10"/>
      <c r="J10"/>
      <c r="O10"/>
      <c r="P10"/>
      <c r="Q10"/>
      <c r="R10"/>
      <c r="S10"/>
      <c r="T10"/>
      <c r="U10"/>
      <c r="V10"/>
      <c r="W10"/>
    </row>
    <row r="11" spans="1:26">
      <c r="A11" s="5"/>
      <c r="B11" s="214" t="s">
        <v>6</v>
      </c>
      <c r="C11" s="215"/>
      <c r="D11" s="216"/>
      <c r="E11" s="79">
        <v>10000</v>
      </c>
      <c r="F11" s="6"/>
      <c r="H11"/>
      <c r="I11"/>
      <c r="J11"/>
      <c r="O11"/>
      <c r="P11"/>
      <c r="Q11"/>
      <c r="R11"/>
      <c r="S11"/>
      <c r="T11"/>
      <c r="U11"/>
      <c r="V11"/>
      <c r="W11"/>
    </row>
    <row r="12" spans="1:26">
      <c r="A12" s="5"/>
      <c r="B12" s="7"/>
      <c r="C12" s="7"/>
      <c r="D12" s="7"/>
      <c r="E12" s="76"/>
      <c r="F12" s="6"/>
      <c r="H12"/>
      <c r="I12"/>
      <c r="J12"/>
      <c r="O12"/>
      <c r="P12"/>
      <c r="Q12"/>
      <c r="R12"/>
      <c r="S12"/>
      <c r="T12"/>
      <c r="U12"/>
      <c r="V12"/>
      <c r="W12"/>
    </row>
    <row r="13" spans="1:26">
      <c r="A13" s="5"/>
      <c r="B13" s="226" t="s">
        <v>7</v>
      </c>
      <c r="C13" s="227"/>
      <c r="D13" s="228"/>
      <c r="E13" s="48">
        <f>ROUNDDOWN(E9/(1-30%)*30%,0)</f>
        <v>17571</v>
      </c>
      <c r="F13" s="6"/>
      <c r="H13"/>
      <c r="I13"/>
      <c r="J13"/>
      <c r="O13"/>
      <c r="P13"/>
      <c r="Q13"/>
      <c r="R13"/>
      <c r="S13"/>
      <c r="T13"/>
      <c r="U13"/>
      <c r="V13"/>
      <c r="W13"/>
    </row>
    <row r="14" spans="1:26">
      <c r="A14" s="5"/>
      <c r="B14" s="11"/>
      <c r="C14" s="11"/>
      <c r="D14" s="11"/>
      <c r="E14" s="12"/>
      <c r="F14" s="6"/>
      <c r="H14"/>
      <c r="I14"/>
      <c r="J14"/>
      <c r="O14"/>
      <c r="P14"/>
      <c r="Q14"/>
      <c r="R14"/>
      <c r="S14"/>
      <c r="T14"/>
      <c r="U14"/>
      <c r="V14"/>
      <c r="W14"/>
    </row>
    <row r="15" spans="1:26">
      <c r="A15" s="5"/>
      <c r="B15" s="214" t="s">
        <v>8</v>
      </c>
      <c r="C15" s="215"/>
      <c r="D15" s="216"/>
      <c r="E15" s="79">
        <v>0</v>
      </c>
      <c r="F15" s="6"/>
      <c r="G15" s="13"/>
      <c r="H15"/>
      <c r="I15"/>
      <c r="J15"/>
      <c r="O15"/>
      <c r="P15"/>
      <c r="Q15"/>
      <c r="R15"/>
      <c r="S15"/>
      <c r="T15"/>
      <c r="U15"/>
      <c r="V15"/>
      <c r="W15"/>
    </row>
    <row r="16" spans="1:26">
      <c r="A16" s="5"/>
      <c r="B16" s="7"/>
      <c r="C16" s="7"/>
      <c r="D16" s="7"/>
      <c r="E16" s="14"/>
      <c r="F16" s="6"/>
      <c r="G16" s="15"/>
      <c r="H16"/>
      <c r="I16"/>
      <c r="J16"/>
      <c r="O16"/>
      <c r="P16"/>
      <c r="Q16"/>
      <c r="R16"/>
      <c r="S16"/>
      <c r="T16"/>
      <c r="U16"/>
      <c r="V16"/>
      <c r="W16"/>
    </row>
    <row r="17" spans="1:23">
      <c r="A17" s="5"/>
      <c r="B17" s="226" t="s">
        <v>9</v>
      </c>
      <c r="C17" s="227"/>
      <c r="D17" s="228"/>
      <c r="E17" s="49">
        <f>IF(E7="Tier 3",(E9+E11-E15)/2/2,
IF(E7="Tier 4",(E9+E11-E15)/2/2,
(E9-E15)/2))</f>
        <v>20500</v>
      </c>
      <c r="F17" s="6"/>
      <c r="H17" s="64"/>
      <c r="I17" s="65"/>
      <c r="O17"/>
      <c r="P17"/>
      <c r="Q17"/>
      <c r="R17"/>
      <c r="S17"/>
      <c r="T17"/>
      <c r="U17"/>
      <c r="V17"/>
      <c r="W17"/>
    </row>
    <row r="18" spans="1:23">
      <c r="A18" s="5"/>
      <c r="B18" s="71"/>
      <c r="C18" s="72"/>
      <c r="D18" s="72"/>
      <c r="E18" s="70"/>
      <c r="F18" s="6"/>
      <c r="H18" s="64"/>
      <c r="I18" s="65"/>
      <c r="O18"/>
      <c r="P18"/>
      <c r="Q18"/>
      <c r="R18"/>
      <c r="S18"/>
      <c r="T18"/>
      <c r="U18"/>
      <c r="V18"/>
      <c r="W18"/>
    </row>
    <row r="19" spans="1:23">
      <c r="A19" s="5"/>
      <c r="B19" s="226" t="s">
        <v>10</v>
      </c>
      <c r="C19" s="227"/>
      <c r="D19" s="228"/>
      <c r="E19" s="73" t="e">
        <f>IF(E7="Tier 3",IF((E9-E15)/2&lt;=_xlfn.XLOOKUP(E7,#REF!,#REF!),_xlfn.XLOOKUP(E7,#REF!,#REF!)-((E9-E15)/2),0),
IF(E7="Tier 4",IF((E9-E15)/2&lt;=_xlfn.XLOOKUP(E7,#REF!,#REF!),_xlfn.XLOOKUP(E7,#REF!,#REF!)-((E9-E15)/2),0),
_xlfn.XLOOKUP(E7,#REF!,#REF!)-E9+E15))</f>
        <v>#REF!</v>
      </c>
      <c r="F19" s="6"/>
      <c r="H19" s="64"/>
      <c r="I19" s="65"/>
      <c r="O19"/>
      <c r="P19"/>
      <c r="Q19"/>
      <c r="R19"/>
      <c r="S19"/>
      <c r="T19"/>
      <c r="U19"/>
      <c r="V19"/>
      <c r="W19"/>
    </row>
    <row r="20" spans="1:23">
      <c r="A20" s="5"/>
      <c r="B20" s="229" t="e">
        <f>IF(E7="Tier 3",IF((E9+E11-E15)/2&gt;_xlfn.XLOOKUP(E7,#REF!,#REF!),"Project Costs Exceed PCEF Maximum of $"&amp;LEFT(_xlfn.XLOOKUP('EFH v3 w. Funding Breakout'!E7,#REF!,#REF!),2)&amp;",000",""),
IF(E7="Tier 4",IF((E9+E11-E15)/2&gt;_xlfn.XLOOKUP(E7,#REF!,#REF!),"Project Costs Exceed PCEF Maximum of $"&amp;LEFT(_xlfn.XLOOKUP('EFH v3 w. Funding Breakout'!E7,#REF!,#REF!),2)&amp;",000",""),
IF(E9+E11-E15&gt;_xlfn.XLOOKUP(E7,#REF!,#REF!),"Project Costs Exceed PCEF Maximum of $"&amp;LEFT(_xlfn.XLOOKUP('EFH v3 w. Funding Breakout'!E7,#REF!,#REF!),2)&amp;",000","")))</f>
        <v>#REF!</v>
      </c>
      <c r="C20" s="229"/>
      <c r="D20" s="229"/>
      <c r="E20" s="229"/>
      <c r="F20" s="6"/>
      <c r="O20"/>
      <c r="P20"/>
      <c r="Q20"/>
      <c r="R20"/>
      <c r="S20"/>
      <c r="T20"/>
      <c r="U20"/>
      <c r="V20"/>
      <c r="W20"/>
    </row>
    <row r="21" spans="1:23">
      <c r="A21" s="5"/>
      <c r="B21" s="230" t="s">
        <v>11</v>
      </c>
      <c r="C21" s="231"/>
      <c r="D21" s="232"/>
      <c r="E21" s="75" t="e">
        <f>MIN(E13,E19,E17)</f>
        <v>#REF!</v>
      </c>
      <c r="F21" s="6"/>
      <c r="O21"/>
      <c r="P21"/>
      <c r="Q21"/>
      <c r="R21"/>
      <c r="S21"/>
      <c r="T21"/>
      <c r="U21"/>
      <c r="V21"/>
      <c r="W21"/>
    </row>
    <row r="22" spans="1:23" ht="16.5" thickBot="1">
      <c r="A22" s="18"/>
      <c r="B22" s="19"/>
      <c r="C22" s="19"/>
      <c r="D22" s="19"/>
      <c r="E22" s="19"/>
      <c r="F22" s="20"/>
      <c r="O22"/>
      <c r="P22"/>
      <c r="Q22"/>
      <c r="R22"/>
      <c r="S22"/>
      <c r="T22"/>
      <c r="U22"/>
      <c r="V22"/>
      <c r="W22"/>
    </row>
    <row r="23" spans="1:23">
      <c r="A23" s="7"/>
      <c r="B23" s="7"/>
      <c r="C23" s="7"/>
      <c r="D23" s="7"/>
      <c r="E23" s="7"/>
      <c r="F23" s="7"/>
      <c r="O23"/>
      <c r="P23"/>
      <c r="Q23"/>
      <c r="R23"/>
      <c r="S23"/>
      <c r="T23"/>
      <c r="U23"/>
      <c r="V23"/>
      <c r="W23"/>
    </row>
    <row r="24" spans="1:23">
      <c r="A24" s="7"/>
      <c r="B24" s="7"/>
      <c r="C24" s="7"/>
      <c r="D24" s="7"/>
      <c r="E24" s="7"/>
      <c r="F24" s="7"/>
      <c r="O24"/>
      <c r="P24"/>
      <c r="Q24"/>
      <c r="R24"/>
      <c r="S24"/>
      <c r="T24"/>
      <c r="U24"/>
      <c r="V24"/>
      <c r="W24"/>
    </row>
    <row r="25" spans="1:23" ht="18.75">
      <c r="A25" s="7"/>
      <c r="B25" s="21" t="s">
        <v>12</v>
      </c>
      <c r="C25" s="21"/>
      <c r="D25" s="7"/>
      <c r="E25" s="7"/>
      <c r="F25" s="7"/>
      <c r="O25"/>
      <c r="P25"/>
      <c r="Q25"/>
      <c r="R25"/>
      <c r="S25"/>
      <c r="T25"/>
      <c r="U25"/>
      <c r="V25"/>
      <c r="W25"/>
    </row>
    <row r="26" spans="1:23" ht="19.350000000000001" customHeight="1" thickBot="1">
      <c r="A26" s="7"/>
      <c r="B26" s="7"/>
      <c r="C26" s="7"/>
      <c r="D26" s="7"/>
      <c r="E26" s="7"/>
      <c r="F26" s="7"/>
      <c r="O26"/>
      <c r="P26"/>
      <c r="Q26"/>
      <c r="R26"/>
      <c r="S26"/>
      <c r="T26"/>
      <c r="U26"/>
      <c r="V26"/>
      <c r="W26"/>
    </row>
    <row r="27" spans="1:23" ht="17.25">
      <c r="A27" s="7"/>
      <c r="B27" s="22" t="s">
        <v>13</v>
      </c>
      <c r="C27" s="23"/>
      <c r="D27" s="24" t="s">
        <v>14</v>
      </c>
      <c r="E27" s="25"/>
      <c r="F27" s="7"/>
      <c r="H27" s="68" t="s">
        <v>15</v>
      </c>
      <c r="I27" s="68"/>
      <c r="O27"/>
      <c r="P27"/>
      <c r="Q27"/>
      <c r="R27"/>
      <c r="S27"/>
      <c r="T27"/>
      <c r="U27"/>
      <c r="V27"/>
      <c r="W27"/>
    </row>
    <row r="28" spans="1:23">
      <c r="A28" s="7"/>
      <c r="B28" s="26" t="s">
        <v>16</v>
      </c>
      <c r="C28" s="27"/>
      <c r="D28" s="74">
        <f>E9</f>
        <v>41000</v>
      </c>
      <c r="E28" s="29"/>
      <c r="F28" s="7"/>
      <c r="H28" s="4" t="s">
        <v>17</v>
      </c>
      <c r="I28" s="58">
        <f>IF(E7="Tier 3",(D30-E15)/2,
IF(E7="Tier 4",(D30-E15)/2,
D30-E15))</f>
        <v>51000</v>
      </c>
      <c r="O28"/>
      <c r="P28"/>
      <c r="Q28"/>
      <c r="R28"/>
      <c r="S28"/>
      <c r="T28"/>
      <c r="U28"/>
      <c r="V28"/>
      <c r="W28"/>
    </row>
    <row r="29" spans="1:23">
      <c r="A29" s="7"/>
      <c r="B29" s="30" t="s">
        <v>18</v>
      </c>
      <c r="C29" s="31"/>
      <c r="D29" s="74">
        <f>E11</f>
        <v>10000</v>
      </c>
      <c r="E29" s="29"/>
      <c r="F29" s="7"/>
      <c r="H29" s="4" t="s">
        <v>19</v>
      </c>
      <c r="I29" s="59" t="e">
        <f>VLOOKUP($E$7,#REF!,3,TRUE)</f>
        <v>#REF!</v>
      </c>
      <c r="O29"/>
      <c r="P29"/>
      <c r="Q29"/>
      <c r="R29"/>
      <c r="S29"/>
      <c r="T29"/>
      <c r="U29"/>
      <c r="V29"/>
      <c r="W29"/>
    </row>
    <row r="30" spans="1:23" ht="16.5" thickBot="1">
      <c r="A30" s="7"/>
      <c r="B30" s="221" t="s">
        <v>20</v>
      </c>
      <c r="C30" s="222"/>
      <c r="D30" s="33">
        <f>SUM(D28:D29)</f>
        <v>51000</v>
      </c>
      <c r="E30" s="34"/>
      <c r="F30" s="7"/>
      <c r="H30" s="4" t="s">
        <v>21</v>
      </c>
      <c r="I30" s="63" t="e">
        <f>MIN(I28,I29)</f>
        <v>#REF!</v>
      </c>
      <c r="J30" s="47"/>
    </row>
    <row r="31" spans="1:23">
      <c r="A31" s="7"/>
      <c r="B31" s="7"/>
      <c r="C31" s="7"/>
      <c r="D31" s="35"/>
      <c r="E31" s="7"/>
      <c r="F31" s="7"/>
      <c r="H31" s="4" t="s">
        <v>22</v>
      </c>
      <c r="I31" s="67" t="e">
        <f>E21</f>
        <v>#REF!</v>
      </c>
      <c r="J31" s="47"/>
    </row>
    <row r="32" spans="1:23" ht="17.25">
      <c r="A32" s="7"/>
      <c r="B32" s="56" t="s">
        <v>23</v>
      </c>
      <c r="C32" s="84"/>
      <c r="D32" s="81" t="s">
        <v>14</v>
      </c>
      <c r="E32" s="7"/>
      <c r="F32" s="7"/>
      <c r="H32" s="4" t="s">
        <v>24</v>
      </c>
      <c r="I32" s="47" t="e">
        <f>I30-I31</f>
        <v>#REF!</v>
      </c>
      <c r="J32" s="47"/>
    </row>
    <row r="33" spans="1:10">
      <c r="A33" s="7"/>
      <c r="B33" s="54" t="s">
        <v>25</v>
      </c>
      <c r="C33" s="55"/>
      <c r="D33" s="82"/>
      <c r="E33" s="7"/>
      <c r="F33" s="7"/>
      <c r="J33" s="47"/>
    </row>
    <row r="34" spans="1:10">
      <c r="A34" s="7"/>
      <c r="B34" s="39" t="s">
        <v>26</v>
      </c>
      <c r="C34" s="55"/>
      <c r="D34" s="82">
        <f>E15</f>
        <v>0</v>
      </c>
      <c r="E34" s="7"/>
      <c r="F34" s="7"/>
      <c r="H34" s="68" t="s">
        <v>27</v>
      </c>
      <c r="I34" s="68"/>
      <c r="J34" s="47"/>
    </row>
    <row r="35" spans="1:10">
      <c r="A35" s="7"/>
      <c r="B35" s="39" t="s">
        <v>28</v>
      </c>
      <c r="C35" s="55"/>
      <c r="D35" s="82" t="e">
        <f>MIN(E13,E17,E19)</f>
        <v>#REF!</v>
      </c>
      <c r="E35" s="7"/>
      <c r="F35" s="7"/>
      <c r="H35" s="4" t="s">
        <v>29</v>
      </c>
      <c r="I35" s="61" t="e">
        <f>VLOOKUP($E$7,#REF!,4,TRUE)</f>
        <v>#REF!</v>
      </c>
      <c r="J35" s="47"/>
    </row>
    <row r="36" spans="1:10">
      <c r="A36" s="7"/>
      <c r="B36" s="39" t="s">
        <v>30</v>
      </c>
      <c r="C36" s="55"/>
      <c r="D36" s="79">
        <v>1000</v>
      </c>
      <c r="E36" s="7"/>
      <c r="F36" s="7"/>
      <c r="H36" s="4" t="s">
        <v>31</v>
      </c>
      <c r="I36" s="69" t="e">
        <f>I35*D30</f>
        <v>#REF!</v>
      </c>
      <c r="J36" s="47"/>
    </row>
    <row r="37" spans="1:10">
      <c r="A37" s="7"/>
      <c r="B37" s="39" t="s">
        <v>32</v>
      </c>
      <c r="C37" s="85"/>
      <c r="D37" s="83" t="e">
        <f>MAX(0,
IF(E7="Tier 3",D30-D34-I30-D36,
IF(E7="Tier 4",D30-D34-I30-D36,
D30-D34-I30-D36)))</f>
        <v>#REF!</v>
      </c>
      <c r="E37" s="35"/>
      <c r="F37" s="7"/>
      <c r="H37" s="4" t="s">
        <v>33</v>
      </c>
      <c r="I37" s="47" t="e">
        <f>D30-I13-I14-I30</f>
        <v>#REF!</v>
      </c>
      <c r="J37" s="47"/>
    </row>
    <row r="38" spans="1:10">
      <c r="A38" s="7"/>
      <c r="B38" s="223" t="s">
        <v>34</v>
      </c>
      <c r="C38" s="224"/>
      <c r="D38" s="51" t="e">
        <f>SUM(D36:D37,D34)</f>
        <v>#REF!</v>
      </c>
      <c r="E38" s="7"/>
      <c r="F38" s="7"/>
      <c r="H38" s="57" t="s">
        <v>35</v>
      </c>
      <c r="I38" s="63" t="e">
        <f>MAX(I36,I37)</f>
        <v>#REF!</v>
      </c>
    </row>
    <row r="39" spans="1:10" ht="9.9499999999999993" customHeight="1">
      <c r="A39" s="7"/>
      <c r="B39" s="52"/>
      <c r="C39" s="45"/>
      <c r="D39" s="53"/>
      <c r="E39" s="7"/>
      <c r="F39" s="7"/>
      <c r="I39" s="62"/>
    </row>
    <row r="40" spans="1:10">
      <c r="A40" s="7"/>
      <c r="B40" s="37" t="s">
        <v>36</v>
      </c>
      <c r="C40" s="42"/>
      <c r="D40" s="38"/>
      <c r="E40" s="7"/>
      <c r="F40" s="7"/>
      <c r="H40" s="68" t="s">
        <v>37</v>
      </c>
      <c r="I40" s="68"/>
    </row>
    <row r="41" spans="1:10">
      <c r="A41" s="7"/>
      <c r="B41" s="39" t="s">
        <v>38</v>
      </c>
      <c r="C41" s="31"/>
      <c r="D41" s="50">
        <f>E9</f>
        <v>41000</v>
      </c>
      <c r="E41" s="43"/>
      <c r="F41" s="7"/>
      <c r="H41" s="4" t="s">
        <v>39</v>
      </c>
      <c r="I41" s="77" t="e">
        <f>I32/I30</f>
        <v>#REF!</v>
      </c>
    </row>
    <row r="42" spans="1:10">
      <c r="A42" s="7"/>
      <c r="B42" s="44" t="s">
        <v>40</v>
      </c>
      <c r="C42" s="45"/>
      <c r="D42" s="66" t="e">
        <f>I31</f>
        <v>#REF!</v>
      </c>
      <c r="E42" s="43"/>
      <c r="F42" s="7"/>
      <c r="H42" s="4" t="s">
        <v>41</v>
      </c>
      <c r="I42" s="60" t="e">
        <f>I31/I30</f>
        <v>#REF!</v>
      </c>
    </row>
    <row r="43" spans="1:10">
      <c r="A43" s="7"/>
      <c r="B43" s="225" t="s">
        <v>42</v>
      </c>
      <c r="C43" s="224"/>
      <c r="D43" s="74" t="e">
        <f>SUM(D41:D42)</f>
        <v>#REF!</v>
      </c>
      <c r="E43" s="43"/>
      <c r="F43" s="7"/>
    </row>
    <row r="44" spans="1:10" ht="9.9499999999999993" customHeight="1">
      <c r="A44" s="7"/>
      <c r="B44" s="30"/>
      <c r="C44" s="31"/>
      <c r="D44" s="41"/>
      <c r="E44" s="7"/>
      <c r="F44" s="7"/>
    </row>
    <row r="45" spans="1:10" ht="16.5" thickBot="1">
      <c r="A45" s="7"/>
      <c r="B45" s="221" t="s">
        <v>43</v>
      </c>
      <c r="C45" s="222"/>
      <c r="D45" s="33" t="e">
        <f>D38+D43</f>
        <v>#REF!</v>
      </c>
      <c r="E45" s="7"/>
      <c r="F45" s="7"/>
    </row>
    <row r="46" spans="1:10">
      <c r="A46" s="7"/>
      <c r="B46" s="7"/>
      <c r="C46" s="7"/>
      <c r="D46" s="7"/>
      <c r="E46" s="7"/>
      <c r="F46" s="7"/>
    </row>
    <row r="50" spans="11:13">
      <c r="K50" s="47"/>
      <c r="L50" s="47"/>
      <c r="M50" s="47"/>
    </row>
  </sheetData>
  <mergeCells count="16">
    <mergeCell ref="B30:C30"/>
    <mergeCell ref="B38:C38"/>
    <mergeCell ref="B43:C43"/>
    <mergeCell ref="B45:C45"/>
    <mergeCell ref="B13:D13"/>
    <mergeCell ref="B15:D15"/>
    <mergeCell ref="B17:D17"/>
    <mergeCell ref="B19:D19"/>
    <mergeCell ref="B20:E20"/>
    <mergeCell ref="B21:D21"/>
    <mergeCell ref="B11:D11"/>
    <mergeCell ref="B2:E2"/>
    <mergeCell ref="P2:Z2"/>
    <mergeCell ref="B4:E4"/>
    <mergeCell ref="B7:D7"/>
    <mergeCell ref="B9:D9"/>
  </mergeCells>
  <conditionalFormatting sqref="D37">
    <cfRule type="cellIs" dxfId="26" priority="1" operator="greaterThan">
      <formula>0</formula>
    </cfRule>
  </conditionalFormatting>
  <conditionalFormatting sqref="E13">
    <cfRule type="expression" dxfId="25" priority="3">
      <formula>$E$11&gt;$E$13</formula>
    </cfRule>
  </conditionalFormatting>
  <conditionalFormatting sqref="E17">
    <cfRule type="expression" dxfId="24" priority="2">
      <formula>$E$11&gt;$E$17</formula>
    </cfRule>
  </conditionalFormatting>
  <conditionalFormatting sqref="E19">
    <cfRule type="expression" dxfId="23" priority="5">
      <formula>#REF!="Flag"</formula>
    </cfRule>
  </conditionalFormatting>
  <conditionalFormatting sqref="I41">
    <cfRule type="cellIs" dxfId="22" priority="4" operator="lessThan">
      <formula>0.7</formula>
    </cfRule>
  </conditionalFormatting>
  <dataValidations count="1">
    <dataValidation type="list" allowBlank="1" showInputMessage="1" showErrorMessage="1" sqref="E7" xr:uid="{A76EC64F-15D2-41D4-95A8-AA3EFF32A5FB}">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182BE-5FEB-40C9-A058-7DE8F653C9C3}">
  <sheetPr codeName="Sheet2">
    <tabColor theme="7" tint="0.39997558519241921"/>
  </sheetPr>
  <dimension ref="A1:S36"/>
  <sheetViews>
    <sheetView workbookViewId="0"/>
  </sheetViews>
  <sheetFormatPr defaultColWidth="12.42578125" defaultRowHeight="15.75"/>
  <cols>
    <col min="1" max="1" width="3.42578125" style="4" customWidth="1"/>
    <col min="2" max="2" width="35.42578125" style="4" customWidth="1"/>
    <col min="3" max="3" width="13.42578125" style="4" customWidth="1"/>
    <col min="4" max="4" width="11.42578125" style="4" customWidth="1"/>
    <col min="5" max="5" width="13.42578125" style="4" customWidth="1"/>
    <col min="6" max="6" width="4" style="4" customWidth="1"/>
    <col min="7" max="8" width="12.42578125" style="4"/>
    <col min="9" max="9" width="24.42578125" style="4" customWidth="1"/>
    <col min="10" max="16384" width="12.42578125" style="4"/>
  </cols>
  <sheetData>
    <row r="1" spans="1:19">
      <c r="A1" s="1"/>
      <c r="B1" s="2"/>
      <c r="C1" s="2"/>
      <c r="D1" s="2"/>
      <c r="E1" s="2"/>
      <c r="F1" s="3"/>
    </row>
    <row r="2" spans="1:19" ht="18.75">
      <c r="A2" s="5"/>
      <c r="B2" s="217" t="s">
        <v>0</v>
      </c>
      <c r="C2" s="218"/>
      <c r="D2" s="218"/>
      <c r="E2" s="218"/>
      <c r="F2" s="6"/>
      <c r="I2" s="219" t="s">
        <v>44</v>
      </c>
      <c r="J2" s="219"/>
      <c r="K2" s="219"/>
      <c r="L2" s="219"/>
      <c r="M2" s="219"/>
      <c r="N2" s="219"/>
      <c r="O2" s="219"/>
      <c r="P2" s="219"/>
      <c r="Q2" s="219"/>
      <c r="R2" s="219"/>
      <c r="S2" s="219"/>
    </row>
    <row r="3" spans="1:19" ht="9.9499999999999993" customHeight="1">
      <c r="A3" s="5"/>
      <c r="B3" s="7"/>
      <c r="C3" s="7"/>
      <c r="D3" s="7"/>
      <c r="E3" s="7"/>
      <c r="F3" s="6"/>
    </row>
    <row r="4" spans="1:19" ht="23.25" customHeight="1">
      <c r="A4" s="5"/>
      <c r="B4" s="233" t="s">
        <v>45</v>
      </c>
      <c r="C4" s="234"/>
      <c r="D4" s="234"/>
      <c r="E4" s="234"/>
      <c r="F4" s="6"/>
    </row>
    <row r="5" spans="1:19">
      <c r="A5" s="5"/>
      <c r="B5" s="214" t="s">
        <v>5</v>
      </c>
      <c r="C5" s="215"/>
      <c r="D5" s="216"/>
      <c r="E5" s="8">
        <v>41000</v>
      </c>
      <c r="F5" s="6"/>
      <c r="H5" s="235" t="s">
        <v>46</v>
      </c>
      <c r="I5" s="235"/>
      <c r="J5" s="235"/>
      <c r="K5" s="235"/>
      <c r="L5" s="235"/>
      <c r="M5" s="235"/>
      <c r="N5" s="235"/>
      <c r="O5" s="235"/>
      <c r="P5" s="235"/>
    </row>
    <row r="6" spans="1:19">
      <c r="A6" s="5"/>
      <c r="B6" s="7"/>
      <c r="C6" s="7"/>
      <c r="D6" s="7"/>
      <c r="E6" s="9"/>
      <c r="F6" s="6"/>
      <c r="H6" s="236"/>
      <c r="I6" s="236"/>
      <c r="J6" s="236"/>
      <c r="K6" s="236"/>
      <c r="L6" s="236"/>
      <c r="M6" s="236"/>
      <c r="N6" s="236"/>
      <c r="O6" s="236"/>
      <c r="P6" s="236"/>
    </row>
    <row r="7" spans="1:19">
      <c r="A7" s="5"/>
      <c r="B7" s="226" t="s">
        <v>7</v>
      </c>
      <c r="C7" s="227"/>
      <c r="D7" s="228"/>
      <c r="E7" s="10">
        <f>ROUNDDOWN(E5/(1-30%)*30%,0)</f>
        <v>17571</v>
      </c>
      <c r="F7" s="6"/>
      <c r="G7" s="15">
        <f>E5*0.3</f>
        <v>12300</v>
      </c>
      <c r="H7" s="236"/>
      <c r="I7" s="236"/>
      <c r="J7" s="236"/>
      <c r="K7" s="236"/>
      <c r="L7" s="236"/>
      <c r="M7" s="236"/>
      <c r="N7" s="236"/>
      <c r="O7" s="236"/>
      <c r="P7" s="236"/>
    </row>
    <row r="8" spans="1:19">
      <c r="A8" s="5"/>
      <c r="B8" s="11"/>
      <c r="C8" s="11"/>
      <c r="D8" s="11"/>
      <c r="E8" s="12"/>
      <c r="F8" s="6"/>
      <c r="G8" s="15">
        <f>D22*0.3</f>
        <v>19800</v>
      </c>
      <c r="H8" s="236"/>
      <c r="I8" s="236"/>
      <c r="J8" s="236"/>
      <c r="K8" s="236"/>
      <c r="L8" s="236"/>
      <c r="M8" s="236"/>
      <c r="N8" s="236"/>
      <c r="O8" s="236"/>
      <c r="P8" s="236"/>
    </row>
    <row r="9" spans="1:19">
      <c r="A9" s="5"/>
      <c r="B9" s="214" t="s">
        <v>8</v>
      </c>
      <c r="C9" s="215"/>
      <c r="D9" s="216"/>
      <c r="E9" s="8">
        <v>14000</v>
      </c>
      <c r="F9" s="6"/>
      <c r="G9" s="13"/>
      <c r="H9" s="236"/>
      <c r="I9" s="236"/>
      <c r="J9" s="236"/>
      <c r="K9" s="236"/>
      <c r="L9" s="236"/>
      <c r="M9" s="236"/>
      <c r="N9" s="236"/>
      <c r="O9" s="236"/>
      <c r="P9" s="236"/>
    </row>
    <row r="10" spans="1:19">
      <c r="A10" s="5"/>
      <c r="B10" s="7"/>
      <c r="C10" s="7"/>
      <c r="D10" s="7"/>
      <c r="E10" s="14"/>
      <c r="F10" s="6"/>
      <c r="G10" s="15"/>
      <c r="H10" s="236"/>
      <c r="I10" s="236"/>
      <c r="J10" s="236"/>
      <c r="K10" s="236"/>
      <c r="L10" s="236"/>
      <c r="M10" s="236"/>
      <c r="N10" s="236"/>
      <c r="O10" s="236"/>
      <c r="P10" s="236"/>
    </row>
    <row r="11" spans="1:19">
      <c r="A11" s="5"/>
      <c r="B11" s="226" t="s">
        <v>9</v>
      </c>
      <c r="C11" s="227"/>
      <c r="D11" s="228"/>
      <c r="E11" s="16">
        <f>E5-E9</f>
        <v>27000</v>
      </c>
      <c r="F11" s="6"/>
      <c r="H11" s="236"/>
      <c r="I11" s="236"/>
      <c r="J11" s="236"/>
      <c r="K11" s="236"/>
      <c r="L11" s="236"/>
      <c r="M11" s="236"/>
      <c r="N11" s="236"/>
      <c r="O11" s="236"/>
      <c r="P11" s="236"/>
    </row>
    <row r="12" spans="1:19">
      <c r="A12" s="5"/>
      <c r="B12" s="7"/>
      <c r="C12" s="7"/>
      <c r="D12" s="7"/>
      <c r="E12" s="14"/>
      <c r="F12" s="6"/>
      <c r="H12" s="236"/>
      <c r="I12" s="236"/>
      <c r="J12" s="236"/>
      <c r="K12" s="236"/>
      <c r="L12" s="236"/>
      <c r="M12" s="236"/>
      <c r="N12" s="236"/>
      <c r="O12" s="236"/>
      <c r="P12" s="236"/>
    </row>
    <row r="13" spans="1:19">
      <c r="A13" s="5"/>
      <c r="B13" s="230" t="s">
        <v>11</v>
      </c>
      <c r="C13" s="231"/>
      <c r="D13" s="232"/>
      <c r="E13" s="17">
        <f>MIN(E7,E11)</f>
        <v>17571</v>
      </c>
      <c r="F13" s="6"/>
      <c r="H13" s="236"/>
      <c r="I13" s="236"/>
      <c r="J13" s="236"/>
      <c r="K13" s="236"/>
      <c r="L13" s="236"/>
      <c r="M13" s="236"/>
      <c r="N13" s="236"/>
      <c r="O13" s="236"/>
      <c r="P13" s="236"/>
    </row>
    <row r="14" spans="1:19" ht="16.5" thickBot="1">
      <c r="A14" s="18"/>
      <c r="B14" s="19"/>
      <c r="C14" s="19"/>
      <c r="D14" s="19"/>
      <c r="E14" s="19"/>
      <c r="F14" s="20"/>
      <c r="H14" s="236"/>
      <c r="I14" s="236"/>
      <c r="J14" s="236"/>
      <c r="K14" s="236"/>
      <c r="L14" s="236"/>
      <c r="M14" s="236"/>
      <c r="N14" s="236"/>
      <c r="O14" s="236"/>
      <c r="P14" s="236"/>
    </row>
    <row r="15" spans="1:19">
      <c r="A15" s="7"/>
      <c r="B15" s="7"/>
      <c r="C15" s="7"/>
      <c r="D15" s="7"/>
      <c r="E15" s="7"/>
      <c r="F15" s="7"/>
      <c r="H15" s="236"/>
      <c r="I15" s="236"/>
      <c r="J15" s="236"/>
      <c r="K15" s="236"/>
      <c r="L15" s="236"/>
      <c r="M15" s="236"/>
      <c r="N15" s="236"/>
      <c r="O15" s="236"/>
      <c r="P15" s="236"/>
    </row>
    <row r="16" spans="1:19">
      <c r="A16" s="7"/>
      <c r="B16" s="7"/>
      <c r="C16" s="7"/>
      <c r="D16" s="7"/>
      <c r="E16" s="7"/>
      <c r="F16" s="7"/>
      <c r="H16" s="236"/>
      <c r="I16" s="236"/>
      <c r="J16" s="236"/>
      <c r="K16" s="236"/>
      <c r="L16" s="236"/>
      <c r="M16" s="236"/>
      <c r="N16" s="236"/>
      <c r="O16" s="236"/>
      <c r="P16" s="236"/>
    </row>
    <row r="17" spans="1:16" ht="18.75">
      <c r="A17" s="7"/>
      <c r="B17" s="21" t="s">
        <v>47</v>
      </c>
      <c r="C17" s="21"/>
      <c r="D17" s="7"/>
      <c r="E17" s="7"/>
      <c r="F17" s="7"/>
      <c r="H17" s="236"/>
      <c r="I17" s="236"/>
      <c r="J17" s="236"/>
      <c r="K17" s="236"/>
      <c r="L17" s="236"/>
      <c r="M17" s="236"/>
      <c r="N17" s="236"/>
      <c r="O17" s="236"/>
      <c r="P17" s="236"/>
    </row>
    <row r="18" spans="1:16" ht="9.9499999999999993" customHeight="1" thickBot="1">
      <c r="A18" s="7"/>
      <c r="B18" s="7"/>
      <c r="C18" s="7"/>
      <c r="D18" s="7"/>
      <c r="E18" s="7"/>
      <c r="F18" s="7"/>
      <c r="H18" s="236"/>
      <c r="I18" s="236"/>
      <c r="J18" s="236"/>
      <c r="K18" s="236"/>
      <c r="L18" s="236"/>
      <c r="M18" s="236"/>
      <c r="N18" s="236"/>
      <c r="O18" s="236"/>
      <c r="P18" s="236"/>
    </row>
    <row r="19" spans="1:16" ht="17.25">
      <c r="A19" s="7"/>
      <c r="B19" s="22" t="s">
        <v>13</v>
      </c>
      <c r="C19" s="23"/>
      <c r="D19" s="24" t="s">
        <v>14</v>
      </c>
      <c r="E19" s="25"/>
      <c r="F19" s="7"/>
      <c r="H19" s="236"/>
      <c r="I19" s="236"/>
      <c r="J19" s="236"/>
      <c r="K19" s="236"/>
      <c r="L19" s="236"/>
      <c r="M19" s="236"/>
      <c r="N19" s="236"/>
      <c r="O19" s="236"/>
      <c r="P19" s="236"/>
    </row>
    <row r="20" spans="1:16">
      <c r="A20" s="7"/>
      <c r="B20" s="26" t="s">
        <v>16</v>
      </c>
      <c r="C20" s="27"/>
      <c r="D20" s="28">
        <f>E5</f>
        <v>41000</v>
      </c>
      <c r="E20" s="29"/>
      <c r="F20" s="7"/>
      <c r="H20" s="236"/>
      <c r="I20" s="236"/>
      <c r="J20" s="236"/>
      <c r="K20" s="236"/>
      <c r="L20" s="236"/>
      <c r="M20" s="236"/>
      <c r="N20" s="236"/>
      <c r="O20" s="236"/>
      <c r="P20" s="236"/>
    </row>
    <row r="21" spans="1:16">
      <c r="A21" s="7"/>
      <c r="B21" s="30" t="s">
        <v>18</v>
      </c>
      <c r="C21" s="31"/>
      <c r="D21" s="32">
        <v>25000</v>
      </c>
      <c r="E21" s="29"/>
      <c r="F21" s="7"/>
      <c r="H21" s="236"/>
      <c r="I21" s="236"/>
      <c r="J21" s="236"/>
      <c r="K21" s="236"/>
      <c r="L21" s="236"/>
      <c r="M21" s="236"/>
      <c r="N21" s="236"/>
      <c r="O21" s="236"/>
      <c r="P21" s="236"/>
    </row>
    <row r="22" spans="1:16" ht="16.5" thickBot="1">
      <c r="A22" s="7"/>
      <c r="B22" s="221" t="s">
        <v>20</v>
      </c>
      <c r="C22" s="222"/>
      <c r="D22" s="33">
        <f>SUM(D20:D21)</f>
        <v>66000</v>
      </c>
      <c r="E22" s="34"/>
      <c r="F22" s="7"/>
    </row>
    <row r="23" spans="1:16" ht="16.5" thickBot="1">
      <c r="A23" s="7"/>
      <c r="B23" s="7"/>
      <c r="C23" s="7"/>
      <c r="D23" s="35"/>
      <c r="E23" s="7"/>
      <c r="F23" s="7"/>
    </row>
    <row r="24" spans="1:16" ht="17.25">
      <c r="A24" s="7"/>
      <c r="B24" s="22" t="s">
        <v>23</v>
      </c>
      <c r="C24" s="23"/>
      <c r="D24" s="36" t="s">
        <v>14</v>
      </c>
      <c r="E24" s="7"/>
      <c r="F24" s="7"/>
      <c r="H24" s="13">
        <f>E5+E9</f>
        <v>55000</v>
      </c>
    </row>
    <row r="25" spans="1:16">
      <c r="A25" s="7"/>
      <c r="B25" s="37" t="s">
        <v>25</v>
      </c>
      <c r="C25" s="27"/>
      <c r="D25" s="38"/>
      <c r="E25" s="7"/>
      <c r="F25" s="7"/>
      <c r="H25" s="15">
        <f>H24*0.5</f>
        <v>27500</v>
      </c>
    </row>
    <row r="26" spans="1:16">
      <c r="A26" s="7"/>
      <c r="B26" s="39" t="s">
        <v>26</v>
      </c>
      <c r="C26" s="31"/>
      <c r="D26" s="40">
        <f>E9</f>
        <v>14000</v>
      </c>
      <c r="E26" s="7"/>
      <c r="F26" s="7"/>
    </row>
    <row r="27" spans="1:16">
      <c r="A27" s="7"/>
      <c r="B27" s="39" t="s">
        <v>48</v>
      </c>
      <c r="C27" s="31"/>
      <c r="D27" s="41">
        <f>D21-D32</f>
        <v>7429</v>
      </c>
      <c r="E27" s="7"/>
      <c r="F27" s="7"/>
    </row>
    <row r="28" spans="1:16">
      <c r="A28" s="7"/>
      <c r="B28" s="225" t="s">
        <v>34</v>
      </c>
      <c r="C28" s="224"/>
      <c r="D28" s="38">
        <f>SUM(D26:D27)</f>
        <v>21429</v>
      </c>
      <c r="E28" s="7"/>
      <c r="F28" s="7"/>
    </row>
    <row r="29" spans="1:16" ht="9.9499999999999993" customHeight="1">
      <c r="A29" s="7"/>
      <c r="B29" s="30"/>
      <c r="C29" s="31"/>
      <c r="D29" s="41"/>
      <c r="E29" s="7"/>
      <c r="F29" s="7"/>
    </row>
    <row r="30" spans="1:16">
      <c r="A30" s="7"/>
      <c r="B30" s="37" t="s">
        <v>36</v>
      </c>
      <c r="C30" s="42"/>
      <c r="D30" s="38"/>
      <c r="E30" s="7"/>
      <c r="F30" s="7"/>
    </row>
    <row r="31" spans="1:16">
      <c r="A31" s="7"/>
      <c r="B31" s="39" t="s">
        <v>38</v>
      </c>
      <c r="C31" s="31"/>
      <c r="D31" s="41">
        <f>D20-D26</f>
        <v>27000</v>
      </c>
      <c r="E31" s="43"/>
      <c r="F31" s="7"/>
      <c r="G31" s="266"/>
      <c r="H31" s="267"/>
      <c r="I31" s="267"/>
    </row>
    <row r="32" spans="1:16">
      <c r="A32" s="7"/>
      <c r="B32" s="44" t="s">
        <v>40</v>
      </c>
      <c r="C32" s="45"/>
      <c r="D32" s="46">
        <f>MIN(D21,E13)</f>
        <v>17571</v>
      </c>
      <c r="E32" s="43"/>
      <c r="F32" s="7"/>
    </row>
    <row r="33" spans="1:6">
      <c r="A33" s="7"/>
      <c r="B33" s="225" t="s">
        <v>42</v>
      </c>
      <c r="C33" s="224"/>
      <c r="D33" s="28">
        <f>SUM(D31:D32)</f>
        <v>44571</v>
      </c>
      <c r="E33" s="43"/>
      <c r="F33" s="7"/>
    </row>
    <row r="34" spans="1:6" ht="9.9499999999999993" customHeight="1">
      <c r="A34" s="7"/>
      <c r="B34" s="30"/>
      <c r="C34" s="31"/>
      <c r="D34" s="41"/>
      <c r="E34" s="7"/>
      <c r="F34" s="7"/>
    </row>
    <row r="35" spans="1:6" ht="16.5" thickBot="1">
      <c r="A35" s="7"/>
      <c r="B35" s="221" t="s">
        <v>43</v>
      </c>
      <c r="C35" s="222"/>
      <c r="D35" s="33">
        <f>D28+D33</f>
        <v>66000</v>
      </c>
      <c r="E35" s="7"/>
      <c r="F35" s="7"/>
    </row>
    <row r="36" spans="1:6">
      <c r="A36" s="7"/>
      <c r="B36" s="7"/>
      <c r="C36" s="7"/>
      <c r="D36" s="7"/>
      <c r="E36" s="7"/>
      <c r="F36" s="7"/>
    </row>
  </sheetData>
  <mergeCells count="14">
    <mergeCell ref="B2:E2"/>
    <mergeCell ref="I2:S2"/>
    <mergeCell ref="B4:E4"/>
    <mergeCell ref="B5:D5"/>
    <mergeCell ref="H5:P21"/>
    <mergeCell ref="B7:D7"/>
    <mergeCell ref="B9:D9"/>
    <mergeCell ref="B11:D11"/>
    <mergeCell ref="B13:D13"/>
    <mergeCell ref="B22:C22"/>
    <mergeCell ref="B28:C28"/>
    <mergeCell ref="G31:I31"/>
    <mergeCell ref="B33:C33"/>
    <mergeCell ref="B35:C3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73AEA-2890-42E4-B229-E2B5D2DE99D5}">
  <sheetPr codeName="Sheet3">
    <tabColor theme="7"/>
  </sheetPr>
  <dimension ref="A1:AB109"/>
  <sheetViews>
    <sheetView showGridLines="0" tabSelected="1" zoomScale="80" zoomScaleNormal="80" workbookViewId="0">
      <selection activeCell="I12" sqref="I12"/>
    </sheetView>
  </sheetViews>
  <sheetFormatPr defaultColWidth="12.42578125" defaultRowHeight="15.75"/>
  <cols>
    <col min="1" max="1" width="3.42578125" style="4" customWidth="1"/>
    <col min="2" max="3" width="2.42578125" style="4" customWidth="1"/>
    <col min="4" max="4" width="3.42578125" style="4" customWidth="1"/>
    <col min="5" max="5" width="4.42578125" style="4" customWidth="1"/>
    <col min="6" max="6" width="42.85546875" style="4" bestFit="1" customWidth="1"/>
    <col min="7" max="7" width="13.42578125" style="4" customWidth="1"/>
    <col min="8" max="8" width="11.42578125" style="4" customWidth="1"/>
    <col min="9" max="9" width="15.42578125" style="4" customWidth="1"/>
    <col min="10" max="10" width="3.140625" style="4" customWidth="1"/>
    <col min="11" max="11" width="4" style="4" customWidth="1"/>
    <col min="12" max="12" width="4.42578125" style="4" customWidth="1"/>
    <col min="13" max="13" width="15.42578125" style="4" customWidth="1"/>
    <col min="14" max="14" width="27.28515625" style="4" customWidth="1"/>
    <col min="15" max="15" width="21.42578125" style="4" customWidth="1"/>
    <col min="16" max="16" width="5.28515625" style="4" customWidth="1"/>
    <col min="17" max="17" width="26.140625" style="4" customWidth="1"/>
    <col min="18" max="18" width="24.42578125" style="4" customWidth="1"/>
    <col min="19" max="19" width="22.7109375" style="4" customWidth="1"/>
    <col min="20" max="20" width="28.7109375" style="4" customWidth="1"/>
    <col min="21" max="21" width="12.42578125" style="4"/>
    <col min="22" max="22" width="20.42578125" style="4" customWidth="1"/>
    <col min="23" max="25" width="12.42578125" style="4"/>
    <col min="26" max="26" width="4" style="4" customWidth="1"/>
    <col min="27" max="27" width="13.42578125" style="4" bestFit="1" customWidth="1"/>
    <col min="28" max="16384" width="12.42578125" style="4"/>
  </cols>
  <sheetData>
    <row r="1" spans="1:27">
      <c r="A1" s="110"/>
      <c r="B1" s="110"/>
      <c r="C1" s="110"/>
      <c r="D1" s="110"/>
      <c r="E1" s="110"/>
      <c r="F1" s="110"/>
      <c r="G1" s="110"/>
      <c r="H1" s="110"/>
      <c r="I1" s="110"/>
      <c r="J1" s="110"/>
      <c r="K1" s="110"/>
      <c r="L1" s="110"/>
      <c r="M1" s="110"/>
      <c r="N1" s="110"/>
      <c r="O1" s="110"/>
      <c r="P1" s="110"/>
      <c r="Q1" s="110"/>
      <c r="R1" s="110"/>
      <c r="S1" s="110"/>
      <c r="T1" s="110"/>
    </row>
    <row r="2" spans="1:27" ht="16.5" thickBot="1">
      <c r="A2" s="110"/>
    </row>
    <row r="3" spans="1:27" ht="45.6" customHeight="1" thickBot="1">
      <c r="A3" s="110"/>
      <c r="D3" s="254" t="s">
        <v>49</v>
      </c>
      <c r="E3" s="255"/>
      <c r="F3" s="255"/>
      <c r="G3" s="255"/>
      <c r="H3" s="255"/>
      <c r="I3" s="255"/>
      <c r="J3" s="255"/>
      <c r="K3" s="255"/>
      <c r="L3" s="255"/>
      <c r="M3" s="255"/>
      <c r="N3" s="255"/>
      <c r="O3" s="256"/>
    </row>
    <row r="4" spans="1:27" ht="19.5" thickBot="1">
      <c r="A4" s="110"/>
      <c r="D4" s="258" t="s">
        <v>50</v>
      </c>
      <c r="E4" s="258"/>
      <c r="F4" s="258"/>
      <c r="G4" s="258"/>
      <c r="H4" s="258"/>
      <c r="I4" s="258"/>
    </row>
    <row r="5" spans="1:27" ht="19.5" thickBot="1">
      <c r="A5" s="110"/>
      <c r="D5" s="1"/>
      <c r="E5" s="172" t="s">
        <v>51</v>
      </c>
      <c r="F5" s="2"/>
      <c r="G5" s="2"/>
      <c r="H5" s="2"/>
      <c r="I5" s="2"/>
      <c r="J5" s="2"/>
      <c r="K5" s="3"/>
      <c r="M5" s="21" t="s">
        <v>12</v>
      </c>
      <c r="N5" s="21"/>
      <c r="O5" s="7"/>
      <c r="P5" s="7"/>
    </row>
    <row r="6" spans="1:27" ht="23.25" customHeight="1" thickBot="1">
      <c r="A6" s="110"/>
      <c r="D6" s="5"/>
      <c r="E6" s="173" t="s">
        <v>52</v>
      </c>
      <c r="F6" s="171"/>
      <c r="G6" s="164"/>
      <c r="H6" s="164"/>
      <c r="J6" s="164"/>
      <c r="K6" s="6"/>
      <c r="M6" s="92" t="s">
        <v>13</v>
      </c>
      <c r="N6" s="91"/>
      <c r="O6" s="24" t="s">
        <v>14</v>
      </c>
      <c r="P6" s="25"/>
    </row>
    <row r="7" spans="1:27" ht="18" customHeight="1" thickBot="1">
      <c r="A7" s="110"/>
      <c r="D7" s="5"/>
      <c r="E7" s="237" t="s">
        <v>53</v>
      </c>
      <c r="F7" s="238"/>
      <c r="G7"/>
      <c r="H7"/>
      <c r="I7"/>
      <c r="J7"/>
      <c r="K7" s="6"/>
      <c r="M7" s="30" t="s">
        <v>16</v>
      </c>
      <c r="N7" s="31"/>
      <c r="O7" s="203">
        <f>I11+I12</f>
        <v>35000</v>
      </c>
      <c r="P7" s="111"/>
    </row>
    <row r="8" spans="1:27" ht="23.25" customHeight="1">
      <c r="A8" s="110"/>
      <c r="D8" s="5"/>
      <c r="E8" s="1"/>
      <c r="F8" s="132"/>
      <c r="G8" s="132"/>
      <c r="H8" s="132"/>
      <c r="I8" s="132"/>
      <c r="J8" s="117"/>
      <c r="K8" s="6"/>
      <c r="M8" s="30" t="s">
        <v>18</v>
      </c>
      <c r="N8" s="31"/>
      <c r="O8" s="203">
        <f>I15</f>
        <v>9000</v>
      </c>
      <c r="P8" s="111"/>
    </row>
    <row r="9" spans="1:27" ht="15.75" customHeight="1">
      <c r="A9" s="110"/>
      <c r="D9" s="5"/>
      <c r="E9" s="5"/>
      <c r="F9" s="214" t="s">
        <v>3</v>
      </c>
      <c r="G9" s="214"/>
      <c r="H9" s="214"/>
      <c r="I9" s="106" t="s">
        <v>4</v>
      </c>
      <c r="J9" s="118"/>
      <c r="K9" s="6"/>
      <c r="M9" s="240" t="s">
        <v>20</v>
      </c>
      <c r="N9" s="241"/>
      <c r="O9" s="204">
        <f>SUM(O7:O8)</f>
        <v>44000</v>
      </c>
      <c r="P9" s="7"/>
    </row>
    <row r="10" spans="1:27" ht="15.75" customHeight="1" thickBot="1">
      <c r="A10" s="110"/>
      <c r="D10" s="5"/>
      <c r="E10" s="5"/>
      <c r="F10" s="138"/>
      <c r="G10" s="139"/>
      <c r="H10" s="139"/>
      <c r="I10" s="139"/>
      <c r="J10" s="118"/>
      <c r="K10" s="6"/>
      <c r="M10" s="141"/>
      <c r="N10" s="86" t="s">
        <v>54</v>
      </c>
      <c r="O10" s="112">
        <f>IFERROR(O8/O9,"")</f>
        <v>0.20454545454545456</v>
      </c>
      <c r="P10" s="7"/>
    </row>
    <row r="11" spans="1:27" ht="15.75" customHeight="1" thickBot="1">
      <c r="A11" s="110"/>
      <c r="D11" s="5"/>
      <c r="E11" s="5"/>
      <c r="F11" s="214" t="s">
        <v>5</v>
      </c>
      <c r="G11" s="214"/>
      <c r="H11" s="214"/>
      <c r="I11" s="198">
        <v>35000</v>
      </c>
      <c r="J11" s="118"/>
      <c r="K11" s="6"/>
      <c r="S11"/>
      <c r="T11"/>
      <c r="U11"/>
      <c r="V11"/>
      <c r="W11"/>
      <c r="X11"/>
      <c r="Y11"/>
      <c r="Z11"/>
      <c r="AA11"/>
    </row>
    <row r="12" spans="1:27">
      <c r="A12" s="110"/>
      <c r="D12" s="5"/>
      <c r="E12" s="5"/>
      <c r="F12" s="214" t="s">
        <v>55</v>
      </c>
      <c r="G12" s="214"/>
      <c r="H12" s="214"/>
      <c r="I12" s="198">
        <v>0</v>
      </c>
      <c r="J12" s="118"/>
      <c r="K12" s="6"/>
      <c r="M12" s="90" t="s">
        <v>56</v>
      </c>
      <c r="N12" s="91"/>
      <c r="O12" s="94" t="s">
        <v>14</v>
      </c>
      <c r="P12" s="113"/>
      <c r="S12"/>
      <c r="T12"/>
      <c r="U12"/>
      <c r="V12"/>
      <c r="W12"/>
      <c r="X12"/>
      <c r="Y12"/>
      <c r="Z12"/>
      <c r="AA12"/>
    </row>
    <row r="13" spans="1:27">
      <c r="A13" s="110"/>
      <c r="D13" s="5"/>
      <c r="E13" s="5"/>
      <c r="F13" s="7"/>
      <c r="G13" s="7"/>
      <c r="H13" s="7"/>
      <c r="J13" s="118"/>
      <c r="K13" s="6"/>
      <c r="L13" s="47"/>
      <c r="M13" s="39" t="s">
        <v>38</v>
      </c>
      <c r="N13" s="31"/>
      <c r="O13" s="205" cm="1">
        <f t="array" ref="O13">_xlfn.IFS($I$9="Tier 1",Engine!E8,$I$9="Tier 2",Engine!F8,$I$9="Tier 3",Engine!G8,$I$9="Tier 4",Engine!H8,$I$9="Tier 5",Engine!I8)</f>
        <v>33000</v>
      </c>
      <c r="P13" s="113"/>
      <c r="S13"/>
      <c r="T13"/>
      <c r="U13"/>
      <c r="V13"/>
      <c r="W13"/>
      <c r="X13"/>
      <c r="Y13"/>
      <c r="Z13"/>
      <c r="AA13"/>
    </row>
    <row r="14" spans="1:27">
      <c r="A14" s="110"/>
      <c r="D14" s="5"/>
      <c r="E14" s="5"/>
      <c r="F14" s="259"/>
      <c r="G14" s="259"/>
      <c r="H14" s="259"/>
      <c r="I14" s="88"/>
      <c r="J14" s="118"/>
      <c r="K14" s="6"/>
      <c r="M14" s="39" t="s">
        <v>57</v>
      </c>
      <c r="N14" s="31"/>
      <c r="O14" s="206" cm="1">
        <f t="array" ref="O14">_xlfn.IFS($I$9="Tier 1",Engine!E27,$I$9="Tier 2",Engine!F27,$I$9="Tier 3",Engine!G27,$I$9="Tier 4",Engine!H27,$I$9="Tier 5",Engine!I27)</f>
        <v>9000</v>
      </c>
      <c r="P14" s="113"/>
      <c r="S14"/>
      <c r="T14"/>
      <c r="U14"/>
      <c r="V14"/>
      <c r="W14"/>
      <c r="X14"/>
      <c r="Y14"/>
      <c r="Z14"/>
      <c r="AA14"/>
    </row>
    <row r="15" spans="1:27">
      <c r="A15" s="110"/>
      <c r="D15" s="5"/>
      <c r="E15" s="5"/>
      <c r="F15" s="214" t="s">
        <v>58</v>
      </c>
      <c r="G15" s="214"/>
      <c r="H15" s="214"/>
      <c r="I15" s="198">
        <v>9000</v>
      </c>
      <c r="J15" s="118"/>
      <c r="K15" s="6"/>
      <c r="M15" s="39"/>
      <c r="N15" s="31"/>
      <c r="O15" s="114"/>
      <c r="S15"/>
      <c r="T15"/>
      <c r="U15"/>
      <c r="V15"/>
      <c r="W15"/>
      <c r="X15"/>
      <c r="Y15"/>
      <c r="Z15"/>
      <c r="AA15"/>
    </row>
    <row r="16" spans="1:27" ht="16.5" thickBot="1">
      <c r="A16" s="110"/>
      <c r="D16" s="5"/>
      <c r="E16" s="5"/>
      <c r="F16" s="7"/>
      <c r="G16" s="7"/>
      <c r="H16" s="7"/>
      <c r="I16" s="115"/>
      <c r="J16" s="118"/>
      <c r="K16" s="6"/>
      <c r="M16" s="244" t="s">
        <v>59</v>
      </c>
      <c r="N16" s="245"/>
      <c r="O16" s="207">
        <f>SUM(O13:O15)</f>
        <v>42000</v>
      </c>
      <c r="S16"/>
      <c r="T16"/>
      <c r="U16"/>
      <c r="V16"/>
      <c r="W16"/>
      <c r="X16"/>
      <c r="Y16"/>
      <c r="Z16"/>
      <c r="AA16"/>
    </row>
    <row r="17" spans="1:28">
      <c r="A17" s="110"/>
      <c r="D17" s="5"/>
      <c r="E17" s="5"/>
      <c r="F17" s="260" t="s">
        <v>60</v>
      </c>
      <c r="G17" s="260"/>
      <c r="H17" s="260"/>
      <c r="I17" s="199">
        <f>I11+I12+I15</f>
        <v>44000</v>
      </c>
      <c r="J17" s="118"/>
      <c r="K17" s="6"/>
      <c r="M17" s="243"/>
      <c r="N17" s="243"/>
      <c r="O17" s="243"/>
      <c r="S17"/>
      <c r="T17"/>
      <c r="U17"/>
      <c r="V17"/>
      <c r="W17"/>
      <c r="X17"/>
      <c r="Y17"/>
      <c r="Z17"/>
      <c r="AA17"/>
    </row>
    <row r="18" spans="1:28" ht="13.9" customHeight="1" thickBot="1">
      <c r="A18" s="110"/>
      <c r="D18" s="5"/>
      <c r="E18" s="5"/>
      <c r="F18" s="7"/>
      <c r="G18" s="7"/>
      <c r="H18" s="7"/>
      <c r="I18" s="115"/>
      <c r="J18" s="118"/>
      <c r="K18" s="6"/>
      <c r="M18" s="242"/>
      <c r="N18" s="242"/>
      <c r="O18" s="242"/>
      <c r="P18" s="116"/>
      <c r="S18"/>
      <c r="T18"/>
      <c r="U18"/>
      <c r="V18"/>
      <c r="W18"/>
      <c r="X18"/>
      <c r="Y18"/>
      <c r="Z18"/>
      <c r="AA18"/>
    </row>
    <row r="19" spans="1:28" ht="17.25">
      <c r="A19" s="110"/>
      <c r="D19" s="5"/>
      <c r="E19" s="5"/>
      <c r="F19" s="214" t="s">
        <v>8</v>
      </c>
      <c r="G19" s="265"/>
      <c r="H19" s="265"/>
      <c r="I19" s="198">
        <v>2000</v>
      </c>
      <c r="J19" s="118"/>
      <c r="K19" s="6"/>
      <c r="M19" s="22" t="s">
        <v>61</v>
      </c>
      <c r="N19" s="23"/>
      <c r="O19" s="36" t="s">
        <v>14</v>
      </c>
      <c r="S19"/>
      <c r="T19"/>
      <c r="X19"/>
      <c r="Y19"/>
      <c r="Z19"/>
      <c r="AA19"/>
    </row>
    <row r="20" spans="1:28">
      <c r="A20" s="110"/>
      <c r="D20" s="5"/>
      <c r="E20" s="5"/>
      <c r="F20" s="7"/>
      <c r="G20" s="7"/>
      <c r="H20" s="7"/>
      <c r="I20" s="14"/>
      <c r="J20" s="118"/>
      <c r="K20" s="6"/>
      <c r="L20" s="13"/>
      <c r="M20" s="37" t="s">
        <v>25</v>
      </c>
      <c r="N20" s="42"/>
      <c r="O20" s="93"/>
      <c r="X20"/>
      <c r="Y20"/>
      <c r="Z20"/>
      <c r="AA20"/>
    </row>
    <row r="21" spans="1:28">
      <c r="A21" s="110"/>
      <c r="D21" s="5"/>
      <c r="E21" s="5"/>
      <c r="F21" s="257"/>
      <c r="G21" s="257"/>
      <c r="H21" s="257"/>
      <c r="I21" s="184"/>
      <c r="J21" s="118"/>
      <c r="K21" s="6"/>
      <c r="L21" s="15"/>
      <c r="M21" s="39" t="s">
        <v>26</v>
      </c>
      <c r="N21" s="31"/>
      <c r="O21" s="206">
        <f>OtherEnergyIncentRebates</f>
        <v>2000</v>
      </c>
      <c r="X21"/>
      <c r="Y21"/>
      <c r="Z21"/>
      <c r="AA21"/>
      <c r="AB21"/>
    </row>
    <row r="22" spans="1:28">
      <c r="A22" s="110"/>
      <c r="D22" s="5"/>
      <c r="E22" s="166"/>
      <c r="F22" s="7"/>
      <c r="G22" s="7"/>
      <c r="H22" s="7"/>
      <c r="I22" s="115"/>
      <c r="J22" s="118"/>
      <c r="K22" s="6"/>
      <c r="L22" s="15"/>
      <c r="M22" s="39"/>
      <c r="N22" s="31"/>
      <c r="O22" s="50"/>
      <c r="X22"/>
      <c r="Y22"/>
      <c r="Z22"/>
      <c r="AA22"/>
      <c r="AB22"/>
    </row>
    <row r="23" spans="1:28">
      <c r="A23" s="110"/>
      <c r="D23" s="5"/>
      <c r="E23" s="5"/>
      <c r="F23" s="260" t="s">
        <v>62</v>
      </c>
      <c r="G23" s="261"/>
      <c r="H23" s="261"/>
      <c r="I23" s="199">
        <f>I17-I19-I21</f>
        <v>42000</v>
      </c>
      <c r="J23" s="118"/>
      <c r="K23" s="6"/>
      <c r="L23" s="15"/>
      <c r="M23" s="39" t="s">
        <v>63</v>
      </c>
      <c r="N23" s="31"/>
      <c r="O23" s="206" cm="1">
        <f t="array" ref="O23">_xlfn.IFS($I$9=Engine!E1,PostClientCostShareMin,$I$9=Engine!F1,Engine!F13,$I$9=Engine!G1,Engine!G13,$I$9=Engine!H1,Engine!H13,$I$9=Engine!I1,Engine!I13)</f>
        <v>0</v>
      </c>
      <c r="X23"/>
      <c r="Y23"/>
      <c r="Z23"/>
      <c r="AA23"/>
      <c r="AB23"/>
    </row>
    <row r="24" spans="1:28" ht="18" customHeight="1" thickBot="1">
      <c r="A24" s="110"/>
      <c r="D24" s="5"/>
      <c r="E24" s="18"/>
      <c r="F24" s="167"/>
      <c r="G24" s="167"/>
      <c r="H24" s="167"/>
      <c r="I24" s="168"/>
      <c r="J24" s="120"/>
      <c r="K24" s="6"/>
      <c r="L24" s="15"/>
      <c r="M24" s="39" t="s">
        <v>64</v>
      </c>
      <c r="N24" s="31"/>
      <c r="O24" s="208">
        <f>(TotalProjectCost-(SUM(O16:O23)))</f>
        <v>0</v>
      </c>
      <c r="X24"/>
      <c r="Y24"/>
      <c r="Z24"/>
      <c r="AA24"/>
      <c r="AB24"/>
    </row>
    <row r="25" spans="1:28" ht="16.5" thickBot="1">
      <c r="A25" s="110"/>
      <c r="D25" s="5"/>
      <c r="E25" s="1"/>
      <c r="F25" s="169"/>
      <c r="G25" s="169"/>
      <c r="H25" s="169"/>
      <c r="I25" s="170"/>
      <c r="J25" s="117"/>
      <c r="K25" s="6"/>
      <c r="L25" s="15"/>
      <c r="M25" s="244" t="s">
        <v>34</v>
      </c>
      <c r="N25" s="245"/>
      <c r="O25" s="209">
        <f>SUM(O21:O22)</f>
        <v>2000</v>
      </c>
      <c r="U25"/>
      <c r="W25"/>
      <c r="X25"/>
      <c r="Y25"/>
      <c r="Z25"/>
      <c r="AA25"/>
      <c r="AB25"/>
    </row>
    <row r="26" spans="1:28" ht="16.5" thickBot="1">
      <c r="A26" s="110"/>
      <c r="D26" s="5"/>
      <c r="E26" s="5"/>
      <c r="J26" s="118"/>
      <c r="K26" s="6"/>
      <c r="L26" s="47"/>
      <c r="M26" s="246" t="s">
        <v>65</v>
      </c>
      <c r="N26" s="247"/>
      <c r="O26" s="210">
        <f>SubtotalEligiblePCEFFunding+SubtotalOtherFunding+TotalClientCostShare+O24</f>
        <v>44000</v>
      </c>
      <c r="U26"/>
      <c r="V26"/>
      <c r="W26"/>
      <c r="X26"/>
      <c r="Y26"/>
      <c r="Z26"/>
      <c r="AA26"/>
      <c r="AB26"/>
    </row>
    <row r="27" spans="1:28" ht="15.6" customHeight="1">
      <c r="A27" s="110"/>
      <c r="D27" s="5"/>
      <c r="E27" s="5"/>
      <c r="F27" s="263" t="s">
        <v>66</v>
      </c>
      <c r="G27" s="264"/>
      <c r="H27" s="264"/>
      <c r="I27" s="200">
        <f>TotalProjectCost*0.3</f>
        <v>13200</v>
      </c>
      <c r="J27" s="118"/>
      <c r="K27" s="6"/>
      <c r="M27" s="248" t="str">
        <f>IF(AND(OR($I$9="Tier 1",$I$9="Tier 2",$I$9="Tier 5"),O24&lt;&gt;0),"Warning: A portion of costs are currently not funded and need to be addressed.  This project should not require client cost share.","")</f>
        <v/>
      </c>
      <c r="N27" s="248"/>
      <c r="O27" s="248"/>
      <c r="Q27" s="183"/>
      <c r="R27" s="183"/>
      <c r="S27" s="183"/>
      <c r="T27"/>
      <c r="U27"/>
      <c r="V27"/>
      <c r="W27"/>
      <c r="X27"/>
      <c r="Y27"/>
      <c r="Z27"/>
      <c r="AA27"/>
    </row>
    <row r="28" spans="1:28" ht="19.149999999999999" customHeight="1" thickBot="1">
      <c r="A28" s="110"/>
      <c r="D28" s="5"/>
      <c r="E28" s="5"/>
      <c r="F28" s="262" t="str">
        <f>IF(I14&lt;=I27, "Project costs meet Rule 1 that Critical Repairs are not greater than 30% of total project cost", "Project cost exceed Rule 1 - Critical Repairs exceed 30% of total project cost")</f>
        <v>Project costs meet Rule 1 that Critical Repairs are not greater than 30% of total project cost</v>
      </c>
      <c r="G28" s="262"/>
      <c r="H28" s="262"/>
      <c r="I28" s="262"/>
      <c r="J28" s="118"/>
      <c r="K28" s="6"/>
      <c r="M28" s="249"/>
      <c r="N28" s="249"/>
      <c r="O28" s="249"/>
      <c r="Q28" s="57" t="s">
        <v>67</v>
      </c>
      <c r="U28"/>
      <c r="V28"/>
      <c r="W28"/>
      <c r="X28"/>
      <c r="Y28"/>
      <c r="Z28"/>
      <c r="AA28"/>
    </row>
    <row r="29" spans="1:28" ht="20.100000000000001" customHeight="1" thickBot="1">
      <c r="A29" s="110"/>
      <c r="D29" s="5"/>
      <c r="E29" s="5"/>
      <c r="I29" s="119" t="s">
        <v>68</v>
      </c>
      <c r="J29" s="118"/>
      <c r="K29" s="6"/>
      <c r="M29" s="174" t="s">
        <v>69</v>
      </c>
      <c r="N29" s="186"/>
      <c r="O29" s="175"/>
      <c r="Q29" s="187" t="s">
        <v>70</v>
      </c>
      <c r="R29" s="188" t="s">
        <v>71</v>
      </c>
      <c r="S29" s="188" t="s">
        <v>72</v>
      </c>
      <c r="T29" s="189" t="s">
        <v>73</v>
      </c>
      <c r="U29"/>
      <c r="V29"/>
      <c r="W29"/>
      <c r="X29"/>
      <c r="Y29"/>
      <c r="Z29"/>
      <c r="AA29"/>
    </row>
    <row r="30" spans="1:28" ht="18.75">
      <c r="A30" s="110"/>
      <c r="D30" s="5"/>
      <c r="E30" s="5"/>
      <c r="J30" s="118"/>
      <c r="K30" s="6"/>
      <c r="M30" s="176"/>
      <c r="N30" s="177"/>
      <c r="O30" s="178"/>
      <c r="Q30" s="190" t="s">
        <v>4</v>
      </c>
      <c r="R30" s="126" t="s">
        <v>74</v>
      </c>
      <c r="S30" s="127">
        <v>50000</v>
      </c>
      <c r="T30" s="191">
        <v>0</v>
      </c>
      <c r="U30"/>
      <c r="V30"/>
      <c r="W30"/>
      <c r="X30"/>
      <c r="Y30"/>
      <c r="Z30"/>
      <c r="AA30"/>
    </row>
    <row r="31" spans="1:28" ht="18" customHeight="1">
      <c r="A31" s="110"/>
      <c r="D31" s="5"/>
      <c r="E31" s="5"/>
      <c r="F31" s="263" t="s">
        <v>75</v>
      </c>
      <c r="G31" s="264"/>
      <c r="H31" s="264"/>
      <c r="I31" s="201">
        <f>INDEX($Q$30:$T$34,MATCH($I$9,$Q$30:$Q$34,0),3)*0.5</f>
        <v>25000</v>
      </c>
      <c r="J31" s="118"/>
      <c r="K31" s="6"/>
      <c r="M31" s="179" t="s">
        <v>60</v>
      </c>
      <c r="N31" s="180"/>
      <c r="O31" s="211">
        <f>I17</f>
        <v>44000</v>
      </c>
      <c r="Q31" s="192" t="s">
        <v>76</v>
      </c>
      <c r="R31" s="128" t="s">
        <v>77</v>
      </c>
      <c r="S31" s="129">
        <v>30000</v>
      </c>
      <c r="T31" s="193">
        <v>0</v>
      </c>
      <c r="U31"/>
      <c r="V31"/>
      <c r="W31"/>
      <c r="X31"/>
      <c r="Y31"/>
      <c r="Z31"/>
      <c r="AA31"/>
    </row>
    <row r="32" spans="1:28" s="122" customFormat="1" ht="18" customHeight="1">
      <c r="A32" s="110"/>
      <c r="B32" s="4"/>
      <c r="C32" s="4"/>
      <c r="D32" s="5"/>
      <c r="E32" s="5"/>
      <c r="F32" s="239" t="str">
        <f>IF(I15&lt;=I31, "Project cost meets Rule 2 that Critical Repairs are not greater than 50% of PCEF funding", "Project costs exceed Rule 2 - Critical Repairs exceed 50% of PCEF funding")</f>
        <v>Project cost meets Rule 2 that Critical Repairs are not greater than 50% of PCEF funding</v>
      </c>
      <c r="G32" s="239"/>
      <c r="H32" s="239"/>
      <c r="I32" s="239"/>
      <c r="J32" s="118"/>
      <c r="K32" s="6"/>
      <c r="L32" s="4"/>
      <c r="M32" s="179" t="s">
        <v>78</v>
      </c>
      <c r="N32" s="180"/>
      <c r="O32" s="211">
        <f>O21</f>
        <v>2000</v>
      </c>
      <c r="Q32" s="190" t="s">
        <v>79</v>
      </c>
      <c r="R32" s="126" t="s">
        <v>80</v>
      </c>
      <c r="S32" s="127">
        <v>15000</v>
      </c>
      <c r="T32" s="191">
        <v>0.5</v>
      </c>
      <c r="U32" s="140"/>
      <c r="V32" s="140"/>
      <c r="W32" s="140"/>
      <c r="X32" s="140"/>
      <c r="Y32" s="140"/>
    </row>
    <row r="33" spans="1:25" ht="15.6" customHeight="1">
      <c r="A33" s="121"/>
      <c r="D33" s="5"/>
      <c r="E33" s="5"/>
      <c r="J33" s="118"/>
      <c r="K33" s="6"/>
      <c r="M33" s="179" t="s">
        <v>81</v>
      </c>
      <c r="N33" s="180"/>
      <c r="O33" s="211">
        <f>O16</f>
        <v>42000</v>
      </c>
      <c r="Q33" s="192" t="s">
        <v>82</v>
      </c>
      <c r="R33" s="128" t="s">
        <v>83</v>
      </c>
      <c r="S33" s="129">
        <v>15000</v>
      </c>
      <c r="T33" s="193">
        <v>0.5</v>
      </c>
      <c r="U33"/>
      <c r="V33"/>
      <c r="W33"/>
      <c r="X33"/>
      <c r="Y33"/>
    </row>
    <row r="34" spans="1:25" ht="16.5" thickBot="1">
      <c r="A34" s="110"/>
      <c r="B34" s="122"/>
      <c r="C34" s="122"/>
      <c r="D34" s="123"/>
      <c r="E34" s="123"/>
      <c r="F34" s="263" t="s">
        <v>11</v>
      </c>
      <c r="G34" s="264"/>
      <c r="H34" s="264"/>
      <c r="I34" s="202">
        <f>MIN(I27,I31,I15)</f>
        <v>9000</v>
      </c>
      <c r="J34" s="124"/>
      <c r="K34" s="125"/>
      <c r="L34" s="122"/>
      <c r="M34" s="181" t="s">
        <v>84</v>
      </c>
      <c r="N34" s="182"/>
      <c r="O34" s="212">
        <f>SubtotalEligiblePCEFFunding*0.5</f>
        <v>21000</v>
      </c>
      <c r="Q34" s="194" t="s">
        <v>85</v>
      </c>
      <c r="R34" s="195" t="s">
        <v>86</v>
      </c>
      <c r="S34" s="196">
        <v>15000</v>
      </c>
      <c r="T34" s="197">
        <v>0</v>
      </c>
      <c r="U34"/>
      <c r="V34"/>
      <c r="W34"/>
      <c r="X34"/>
      <c r="Y34"/>
    </row>
    <row r="35" spans="1:25" ht="15.6" customHeight="1">
      <c r="A35" s="110"/>
      <c r="D35" s="5"/>
      <c r="E35" s="5"/>
      <c r="F35" s="250" t="s">
        <v>87</v>
      </c>
      <c r="G35" s="250"/>
      <c r="H35" s="250"/>
      <c r="I35" s="250"/>
      <c r="J35" s="118"/>
      <c r="K35" s="6"/>
      <c r="L35"/>
      <c r="M35" s="252" t="str">
        <f>IF(I12=0,"Projects should reserve 10% for unforseen repairs or quality assurance needs.  Recommend increasing the allotment for contingency.","")</f>
        <v>Projects should reserve 10% for unforseen repairs or quality assurance needs.  Recommend increasing the allotment for contingency.</v>
      </c>
      <c r="N35" s="252"/>
      <c r="O35" s="252"/>
    </row>
    <row r="36" spans="1:25">
      <c r="A36" s="110"/>
      <c r="D36" s="5"/>
      <c r="E36" s="5"/>
      <c r="F36" s="251"/>
      <c r="G36" s="251"/>
      <c r="H36" s="251"/>
      <c r="I36" s="251"/>
      <c r="J36" s="118"/>
      <c r="K36" s="6"/>
      <c r="M36" s="253"/>
      <c r="N36" s="253"/>
      <c r="O36" s="253"/>
    </row>
    <row r="37" spans="1:25">
      <c r="A37" s="110"/>
      <c r="D37" s="5"/>
      <c r="E37" s="5"/>
      <c r="J37" s="118"/>
      <c r="K37" s="6"/>
      <c r="L37"/>
      <c r="M37" s="253"/>
      <c r="N37" s="253"/>
      <c r="O37" s="253"/>
    </row>
    <row r="38" spans="1:25" ht="16.5" thickBot="1">
      <c r="A38" s="110"/>
      <c r="D38" s="5"/>
      <c r="E38" s="18"/>
      <c r="F38" s="19"/>
      <c r="G38" s="19"/>
      <c r="H38" s="19"/>
      <c r="I38" s="19"/>
      <c r="J38" s="120"/>
      <c r="K38" s="6"/>
      <c r="M38" s="257"/>
      <c r="N38" s="257"/>
      <c r="O38" s="257"/>
      <c r="P38" s="257"/>
      <c r="S38"/>
    </row>
    <row r="39" spans="1:25" ht="16.5" thickBot="1">
      <c r="A39" s="110"/>
      <c r="D39" s="18"/>
      <c r="E39" s="19"/>
      <c r="F39" s="19"/>
      <c r="G39" s="19"/>
      <c r="H39" s="19"/>
      <c r="I39" s="19"/>
      <c r="J39" s="19"/>
      <c r="K39" s="20"/>
      <c r="M39"/>
      <c r="N39" s="47"/>
    </row>
    <row r="40" spans="1:25">
      <c r="A40" s="110"/>
      <c r="D40" s="7"/>
      <c r="E40" s="7"/>
      <c r="J40" s="7"/>
      <c r="K40" s="7"/>
      <c r="M40"/>
      <c r="N40" s="47"/>
      <c r="W40" s="87"/>
    </row>
    <row r="41" spans="1:25">
      <c r="A41" s="110"/>
      <c r="D41" s="7"/>
      <c r="E41" s="7"/>
      <c r="J41" s="7"/>
      <c r="K41" s="7"/>
      <c r="M41"/>
    </row>
    <row r="42" spans="1:25" ht="15.75" customHeight="1">
      <c r="A42" s="110"/>
      <c r="D42" s="7"/>
      <c r="E42" s="7"/>
      <c r="J42" s="25"/>
      <c r="K42" s="7"/>
      <c r="M42"/>
      <c r="N42" s="87"/>
    </row>
    <row r="43" spans="1:25">
      <c r="A43" s="110"/>
      <c r="D43" s="7"/>
      <c r="E43" s="7"/>
      <c r="J43" s="111"/>
      <c r="K43" s="7"/>
      <c r="M43"/>
    </row>
    <row r="44" spans="1:25">
      <c r="A44" s="110"/>
      <c r="D44" s="7"/>
      <c r="E44" s="7"/>
      <c r="J44" s="111"/>
      <c r="K44" s="7"/>
      <c r="M44"/>
    </row>
    <row r="45" spans="1:25">
      <c r="A45" s="110"/>
      <c r="D45" s="7"/>
      <c r="E45" s="7"/>
      <c r="J45" s="7"/>
      <c r="K45" s="7"/>
      <c r="M45"/>
    </row>
    <row r="46" spans="1:25">
      <c r="A46" s="110"/>
      <c r="D46" s="7"/>
      <c r="E46" s="7"/>
      <c r="F46" s="7"/>
      <c r="G46" s="7"/>
      <c r="H46" s="35"/>
      <c r="I46" s="113"/>
      <c r="J46" s="7"/>
      <c r="K46" s="7"/>
      <c r="M46"/>
    </row>
    <row r="47" spans="1:25" ht="18" customHeight="1">
      <c r="A47" s="110"/>
      <c r="D47" s="7"/>
      <c r="E47" s="7"/>
      <c r="J47" s="113"/>
      <c r="K47" s="7"/>
    </row>
    <row r="48" spans="1:25">
      <c r="A48" s="110"/>
      <c r="D48" s="7"/>
      <c r="E48" s="7"/>
      <c r="J48" s="113"/>
      <c r="K48" s="7"/>
    </row>
    <row r="49" spans="1:17">
      <c r="A49" s="110"/>
      <c r="D49" s="7"/>
      <c r="E49" s="7"/>
      <c r="J49" s="113"/>
      <c r="K49" s="7"/>
    </row>
    <row r="50" spans="1:17">
      <c r="A50" s="110"/>
      <c r="D50" s="7"/>
      <c r="E50" s="7"/>
      <c r="J50" s="113"/>
      <c r="K50" s="7"/>
    </row>
    <row r="51" spans="1:17">
      <c r="A51" s="110"/>
      <c r="D51" s="7"/>
      <c r="E51" s="7"/>
      <c r="K51" s="7"/>
    </row>
    <row r="52" spans="1:17">
      <c r="A52" s="110"/>
      <c r="D52" s="7"/>
      <c r="E52" s="7"/>
      <c r="K52" s="7"/>
    </row>
    <row r="53" spans="1:17">
      <c r="A53" s="110"/>
      <c r="D53" s="7"/>
      <c r="E53" s="7"/>
      <c r="K53" s="7"/>
    </row>
    <row r="54" spans="1:17">
      <c r="A54" s="110"/>
      <c r="D54" s="7"/>
      <c r="E54" s="7"/>
      <c r="I54" s="7"/>
      <c r="K54" s="7"/>
      <c r="O54" s="47"/>
      <c r="P54" s="47"/>
      <c r="Q54" s="47"/>
    </row>
    <row r="55" spans="1:17">
      <c r="A55" s="110"/>
      <c r="D55" s="7"/>
      <c r="E55" s="7"/>
      <c r="I55" s="7"/>
      <c r="J55" s="7"/>
      <c r="K55" s="7"/>
    </row>
    <row r="56" spans="1:17">
      <c r="A56" s="110"/>
      <c r="D56" s="7"/>
      <c r="E56" s="7"/>
      <c r="I56" s="35"/>
      <c r="J56" s="7"/>
      <c r="K56" s="7"/>
    </row>
    <row r="57" spans="1:17">
      <c r="A57" s="110"/>
      <c r="D57" s="7"/>
      <c r="E57" s="7"/>
      <c r="J57" s="35"/>
      <c r="K57" s="7"/>
    </row>
    <row r="58" spans="1:17">
      <c r="A58" s="110"/>
      <c r="D58" s="7"/>
      <c r="E58" s="7"/>
      <c r="K58" s="7"/>
    </row>
    <row r="59" spans="1:17">
      <c r="A59" s="110"/>
      <c r="D59" s="7"/>
      <c r="E59" s="7"/>
      <c r="K59" s="7"/>
    </row>
    <row r="60" spans="1:17">
      <c r="A60" s="110"/>
      <c r="D60" s="7"/>
      <c r="E60" s="7"/>
      <c r="J60" s="130"/>
      <c r="K60" s="7"/>
    </row>
    <row r="61" spans="1:17">
      <c r="A61" s="110"/>
      <c r="D61" s="7"/>
      <c r="E61" s="7"/>
      <c r="I61" s="131"/>
      <c r="K61" s="7"/>
    </row>
    <row r="62" spans="1:17">
      <c r="A62" s="110"/>
      <c r="D62" s="7"/>
      <c r="E62" s="7"/>
      <c r="J62" s="131"/>
    </row>
    <row r="63" spans="1:17">
      <c r="A63" s="110"/>
      <c r="D63" s="7"/>
      <c r="E63" s="7"/>
    </row>
    <row r="64" spans="1:17">
      <c r="A64" s="110"/>
    </row>
    <row r="65" spans="1:1">
      <c r="A65" s="110"/>
    </row>
    <row r="66" spans="1:1">
      <c r="A66" s="110"/>
    </row>
    <row r="67" spans="1:1">
      <c r="A67" s="110"/>
    </row>
    <row r="68" spans="1:1">
      <c r="A68" s="110"/>
    </row>
    <row r="69" spans="1:1">
      <c r="A69" s="110"/>
    </row>
    <row r="70" spans="1:1">
      <c r="A70" s="110"/>
    </row>
    <row r="71" spans="1:1">
      <c r="A71" s="110"/>
    </row>
    <row r="72" spans="1:1">
      <c r="A72" s="110"/>
    </row>
    <row r="73" spans="1:1">
      <c r="A73" s="110"/>
    </row>
    <row r="74" spans="1:1">
      <c r="A74" s="110"/>
    </row>
    <row r="75" spans="1:1">
      <c r="A75" s="110"/>
    </row>
    <row r="76" spans="1:1">
      <c r="A76" s="110"/>
    </row>
    <row r="77" spans="1:1">
      <c r="A77" s="110"/>
    </row>
    <row r="78" spans="1:1">
      <c r="A78" s="110"/>
    </row>
    <row r="79" spans="1:1">
      <c r="A79" s="110"/>
    </row>
    <row r="80" spans="1:1">
      <c r="A80" s="110"/>
    </row>
    <row r="81" spans="1:1">
      <c r="A81" s="110"/>
    </row>
    <row r="82" spans="1:1">
      <c r="A82" s="110"/>
    </row>
    <row r="83" spans="1:1">
      <c r="A83" s="110"/>
    </row>
    <row r="84" spans="1:1">
      <c r="A84" s="110"/>
    </row>
    <row r="85" spans="1:1">
      <c r="A85" s="110"/>
    </row>
    <row r="86" spans="1:1">
      <c r="A86" s="110"/>
    </row>
    <row r="87" spans="1:1">
      <c r="A87" s="110"/>
    </row>
    <row r="88" spans="1:1">
      <c r="A88" s="110"/>
    </row>
    <row r="89" spans="1:1">
      <c r="A89" s="110"/>
    </row>
    <row r="90" spans="1:1">
      <c r="A90" s="110"/>
    </row>
    <row r="91" spans="1:1">
      <c r="A91" s="110"/>
    </row>
    <row r="92" spans="1:1">
      <c r="A92" s="110"/>
    </row>
    <row r="93" spans="1:1">
      <c r="A93" s="110"/>
    </row>
    <row r="94" spans="1:1">
      <c r="A94" s="110"/>
    </row>
    <row r="95" spans="1:1">
      <c r="A95" s="110"/>
    </row>
    <row r="96" spans="1:1">
      <c r="A96" s="110"/>
    </row>
    <row r="97" spans="1:1">
      <c r="A97" s="110"/>
    </row>
    <row r="98" spans="1:1">
      <c r="A98" s="110"/>
    </row>
    <row r="99" spans="1:1">
      <c r="A99" s="110"/>
    </row>
    <row r="100" spans="1:1">
      <c r="A100" s="110"/>
    </row>
    <row r="101" spans="1:1">
      <c r="A101" s="110"/>
    </row>
    <row r="102" spans="1:1">
      <c r="A102" s="110"/>
    </row>
    <row r="103" spans="1:1">
      <c r="A103" s="110"/>
    </row>
    <row r="104" spans="1:1">
      <c r="A104" s="110"/>
    </row>
    <row r="105" spans="1:1">
      <c r="A105" s="110"/>
    </row>
    <row r="106" spans="1:1">
      <c r="A106" s="110"/>
    </row>
    <row r="107" spans="1:1">
      <c r="A107" s="110"/>
    </row>
    <row r="108" spans="1:1">
      <c r="A108" s="110"/>
    </row>
    <row r="109" spans="1:1">
      <c r="A109" s="110"/>
    </row>
  </sheetData>
  <sheetProtection algorithmName="SHA-512" hashValue="uNwNs0BzEqrcPk45fWCXFcyZngsBNUEPP8sOztZNnOjC6NpIJmRPxkQtFQB5H7XmU00CkeztYoOxzLX64PMFBw==" saltValue="0Nvivc4Q+ukyvID1rseVSQ==" spinCount="100000" sheet="1" selectLockedCells="1"/>
  <mergeCells count="27">
    <mergeCell ref="F35:I36"/>
    <mergeCell ref="M35:O37"/>
    <mergeCell ref="D3:O3"/>
    <mergeCell ref="M38:P38"/>
    <mergeCell ref="D4:I4"/>
    <mergeCell ref="F9:H9"/>
    <mergeCell ref="F11:H11"/>
    <mergeCell ref="F14:H14"/>
    <mergeCell ref="F23:H23"/>
    <mergeCell ref="F17:H17"/>
    <mergeCell ref="F28:I28"/>
    <mergeCell ref="F27:H27"/>
    <mergeCell ref="F19:H19"/>
    <mergeCell ref="F21:H21"/>
    <mergeCell ref="F31:H31"/>
    <mergeCell ref="F34:H34"/>
    <mergeCell ref="E7:F7"/>
    <mergeCell ref="F32:I32"/>
    <mergeCell ref="M9:N9"/>
    <mergeCell ref="M18:O18"/>
    <mergeCell ref="M17:O17"/>
    <mergeCell ref="M25:N25"/>
    <mergeCell ref="M16:N16"/>
    <mergeCell ref="M26:N26"/>
    <mergeCell ref="F15:H15"/>
    <mergeCell ref="F12:H12"/>
    <mergeCell ref="M27:O28"/>
  </mergeCells>
  <conditionalFormatting sqref="F32">
    <cfRule type="containsText" dxfId="21" priority="11" operator="containsText" text="exceed">
      <formula>NOT(ISERROR(SEARCH("exceed",F32)))</formula>
    </cfRule>
    <cfRule type="containsText" dxfId="20" priority="12" operator="containsText" text="meet">
      <formula>NOT(ISERROR(SEARCH("meet",F32)))</formula>
    </cfRule>
  </conditionalFormatting>
  <conditionalFormatting sqref="F28:I28">
    <cfRule type="containsText" dxfId="19" priority="13" operator="containsText" text="exceed ">
      <formula>NOT(ISERROR(SEARCH("exceed ",F28)))</formula>
    </cfRule>
    <cfRule type="containsText" dxfId="18" priority="14" operator="containsText" text="meet">
      <formula>NOT(ISERROR(SEARCH("meet",F28)))</formula>
    </cfRule>
  </conditionalFormatting>
  <conditionalFormatting sqref="M18">
    <cfRule type="containsText" dxfId="17" priority="17" operator="containsText" text="preapproval">
      <formula>NOT(ISERROR(SEARCH("preapproval",M18)))</formula>
    </cfRule>
  </conditionalFormatting>
  <conditionalFormatting sqref="M27">
    <cfRule type="containsText" dxfId="16" priority="7" operator="containsText" text="Warning">
      <formula>NOT(ISERROR(SEARCH("Warning",M27)))</formula>
    </cfRule>
  </conditionalFormatting>
  <conditionalFormatting sqref="M17:O17">
    <cfRule type="containsText" dxfId="15" priority="6" operator="containsText" text="incentives">
      <formula>NOT(ISERROR(SEARCH("incentives",M17)))</formula>
    </cfRule>
  </conditionalFormatting>
  <conditionalFormatting sqref="M38:P38">
    <cfRule type="containsText" dxfId="14" priority="4" operator="containsText" text="tier">
      <formula>NOT(ISERROR(SEARCH("tier",M38)))</formula>
    </cfRule>
  </conditionalFormatting>
  <conditionalFormatting sqref="O10">
    <cfRule type="cellIs" dxfId="13" priority="3" operator="greaterThan">
      <formula>0.3</formula>
    </cfRule>
    <cfRule type="cellIs" dxfId="12" priority="9" operator="greaterThan">
      <formula>0.33333</formula>
    </cfRule>
  </conditionalFormatting>
  <conditionalFormatting sqref="O16">
    <cfRule type="expression" dxfId="11" priority="27">
      <formula>$O$16&gt;$I$17</formula>
    </cfRule>
  </conditionalFormatting>
  <conditionalFormatting sqref="O24">
    <cfRule type="cellIs" dxfId="10" priority="2" operator="greaterThan">
      <formula>0</formula>
    </cfRule>
    <cfRule type="cellIs" dxfId="9" priority="21" operator="greaterThan">
      <formula>0</formula>
    </cfRule>
  </conditionalFormatting>
  <dataValidations count="1">
    <dataValidation type="list" allowBlank="1" showInputMessage="1" showErrorMessage="1" sqref="I9" xr:uid="{04A20F84-FF53-48C2-8CDF-8E09936F9E46}">
      <formula1>$Q$30:$Q$34</formula1>
    </dataValidation>
  </dataValidations>
  <pageMargins left="0.7" right="0.7" top="0.75" bottom="0.75" header="0.3" footer="0.3"/>
  <pageSetup scale="33" orientation="landscape"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E35BACC3-5DA4-4F8E-94BF-0E808CEB2A39}">
            <xm:f>NOT(ISERROR(SEARCH("repair",M35)))</xm:f>
            <xm:f>"repair"</xm:f>
            <x14:dxf>
              <font>
                <b/>
                <i val="0"/>
                <color rgb="FF9C0006"/>
              </font>
              <fill>
                <patternFill>
                  <bgColor rgb="FFFFC7CE"/>
                </patternFill>
              </fill>
            </x14:dxf>
          </x14:cfRule>
          <xm:sqref>M35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C9463-1471-4F19-8118-2EF71BD92374}">
  <sheetPr>
    <tabColor theme="4"/>
  </sheetPr>
  <dimension ref="A1:H46"/>
  <sheetViews>
    <sheetView showGridLines="0" zoomScale="96" zoomScaleNormal="96" workbookViewId="0">
      <pane xSplit="8" ySplit="1" topLeftCell="I2" activePane="bottomRight" state="frozen"/>
      <selection pane="bottomRight" activeCell="A25" sqref="A25"/>
      <selection pane="bottomLeft" activeCell="A2" sqref="A2"/>
      <selection pane="topRight" activeCell="I1" sqref="I1"/>
    </sheetView>
  </sheetViews>
  <sheetFormatPr defaultRowHeight="15"/>
  <cols>
    <col min="1" max="1" width="81" bestFit="1" customWidth="1"/>
    <col min="3" max="3" width="8.85546875" style="147"/>
    <col min="4" max="4" width="21.42578125" style="154" customWidth="1"/>
    <col min="5" max="5" width="22.7109375" style="154" bestFit="1" customWidth="1"/>
    <col min="6" max="6" width="11.42578125" style="145" customWidth="1"/>
    <col min="7" max="7" width="12.42578125" style="145" customWidth="1"/>
    <col min="8" max="8" width="14.42578125" style="145" customWidth="1"/>
  </cols>
  <sheetData>
    <row r="1" spans="1:8" s="140" customFormat="1" ht="45">
      <c r="A1" s="148" t="s">
        <v>88</v>
      </c>
      <c r="B1" s="148" t="s">
        <v>89</v>
      </c>
      <c r="C1" s="149" t="s">
        <v>90</v>
      </c>
      <c r="D1" s="152" t="s">
        <v>91</v>
      </c>
      <c r="E1" s="152" t="s">
        <v>92</v>
      </c>
      <c r="F1" s="150" t="s">
        <v>93</v>
      </c>
      <c r="G1" s="155" t="s">
        <v>94</v>
      </c>
      <c r="H1" s="151" t="s">
        <v>95</v>
      </c>
    </row>
    <row r="2" spans="1:8">
      <c r="A2" s="142" t="s">
        <v>96</v>
      </c>
      <c r="B2" s="137"/>
      <c r="C2" s="146"/>
      <c r="D2" s="153"/>
      <c r="E2" s="153"/>
      <c r="F2" s="143"/>
      <c r="G2" s="156"/>
      <c r="H2" s="144">
        <f t="shared" ref="H2:H19" si="0">C2*D2</f>
        <v>0</v>
      </c>
    </row>
    <row r="3" spans="1:8">
      <c r="A3" t="s">
        <v>97</v>
      </c>
      <c r="C3" s="161"/>
      <c r="D3" s="154">
        <v>0</v>
      </c>
      <c r="E3" s="154">
        <v>1800</v>
      </c>
      <c r="F3" s="163"/>
      <c r="G3" s="163"/>
      <c r="H3" s="163">
        <f>C3*D3</f>
        <v>0</v>
      </c>
    </row>
    <row r="4" spans="1:8">
      <c r="A4" t="s">
        <v>98</v>
      </c>
      <c r="C4" s="161"/>
      <c r="D4" s="154">
        <v>0</v>
      </c>
      <c r="E4" s="154">
        <v>3500</v>
      </c>
      <c r="F4" s="163"/>
      <c r="G4" s="163"/>
      <c r="H4" s="163">
        <f t="shared" si="0"/>
        <v>0</v>
      </c>
    </row>
    <row r="5" spans="1:8">
      <c r="A5" t="s">
        <v>99</v>
      </c>
      <c r="C5" s="161"/>
      <c r="D5" s="154">
        <v>0</v>
      </c>
      <c r="E5" s="154">
        <v>4000</v>
      </c>
      <c r="F5" s="163"/>
      <c r="G5" s="163"/>
      <c r="H5" s="163">
        <f t="shared" si="0"/>
        <v>0</v>
      </c>
    </row>
    <row r="6" spans="1:8">
      <c r="A6" t="s">
        <v>100</v>
      </c>
      <c r="C6" s="161"/>
      <c r="D6" s="154">
        <v>0</v>
      </c>
      <c r="E6" s="154">
        <v>6000</v>
      </c>
      <c r="F6" s="163"/>
      <c r="G6" s="163"/>
      <c r="H6" s="163">
        <f t="shared" si="0"/>
        <v>0</v>
      </c>
    </row>
    <row r="7" spans="1:8">
      <c r="A7" t="s">
        <v>101</v>
      </c>
      <c r="C7" s="161"/>
      <c r="D7" s="154">
        <v>0</v>
      </c>
      <c r="E7" s="154">
        <v>2000</v>
      </c>
      <c r="F7" s="163"/>
      <c r="G7" s="163"/>
      <c r="H7" s="163">
        <f t="shared" si="0"/>
        <v>0</v>
      </c>
    </row>
    <row r="8" spans="1:8">
      <c r="A8" t="s">
        <v>102</v>
      </c>
      <c r="C8" s="161"/>
      <c r="D8" s="154">
        <v>0</v>
      </c>
      <c r="E8" s="154">
        <v>240</v>
      </c>
      <c r="F8" s="163"/>
      <c r="G8" s="163"/>
      <c r="H8" s="163">
        <f t="shared" si="0"/>
        <v>0</v>
      </c>
    </row>
    <row r="9" spans="1:8">
      <c r="A9" t="s">
        <v>103</v>
      </c>
      <c r="C9" s="161"/>
      <c r="D9" s="154">
        <v>0</v>
      </c>
      <c r="E9" s="154">
        <v>250</v>
      </c>
      <c r="F9" s="163"/>
      <c r="G9" s="163"/>
      <c r="H9" s="163">
        <f t="shared" si="0"/>
        <v>0</v>
      </c>
    </row>
    <row r="10" spans="1:8">
      <c r="A10" t="s">
        <v>104</v>
      </c>
      <c r="B10" t="s">
        <v>105</v>
      </c>
      <c r="C10" s="161"/>
      <c r="E10" s="154">
        <v>250</v>
      </c>
      <c r="F10" s="163"/>
      <c r="G10" s="163"/>
      <c r="H10" s="163">
        <f t="shared" si="0"/>
        <v>0</v>
      </c>
    </row>
    <row r="11" spans="1:8">
      <c r="A11" s="142" t="s">
        <v>106</v>
      </c>
      <c r="B11" s="137"/>
      <c r="C11" s="146">
        <v>14.34</v>
      </c>
      <c r="D11" s="153">
        <v>0</v>
      </c>
      <c r="E11" s="153"/>
      <c r="F11" s="158"/>
      <c r="G11" s="157"/>
      <c r="H11" s="159">
        <f t="shared" si="0"/>
        <v>0</v>
      </c>
    </row>
    <row r="12" spans="1:8">
      <c r="A12" t="s">
        <v>107</v>
      </c>
      <c r="C12" s="161"/>
      <c r="D12" s="154">
        <v>0</v>
      </c>
      <c r="E12" s="154">
        <v>6</v>
      </c>
      <c r="F12" s="163"/>
      <c r="G12" s="163"/>
      <c r="H12" s="163">
        <f t="shared" si="0"/>
        <v>0</v>
      </c>
    </row>
    <row r="13" spans="1:8">
      <c r="A13" t="s">
        <v>108</v>
      </c>
      <c r="B13" t="s">
        <v>105</v>
      </c>
      <c r="C13" s="161"/>
      <c r="E13" s="154">
        <v>7.5</v>
      </c>
      <c r="F13" s="163"/>
      <c r="G13" s="163"/>
      <c r="H13" s="163">
        <f t="shared" si="0"/>
        <v>0</v>
      </c>
    </row>
    <row r="14" spans="1:8">
      <c r="A14" t="s">
        <v>109</v>
      </c>
      <c r="C14" s="161"/>
      <c r="D14" s="154">
        <v>0</v>
      </c>
      <c r="E14" s="154">
        <v>9</v>
      </c>
      <c r="F14" s="163"/>
      <c r="G14" s="163"/>
      <c r="H14" s="163">
        <f t="shared" si="0"/>
        <v>0</v>
      </c>
    </row>
    <row r="15" spans="1:8">
      <c r="A15" t="s">
        <v>110</v>
      </c>
      <c r="C15" s="161"/>
      <c r="D15" s="154">
        <v>0</v>
      </c>
      <c r="E15" s="154">
        <v>13</v>
      </c>
      <c r="F15" s="163"/>
      <c r="G15" s="163"/>
      <c r="H15" s="163">
        <f t="shared" si="0"/>
        <v>0</v>
      </c>
    </row>
    <row r="16" spans="1:8">
      <c r="A16" s="142" t="s">
        <v>111</v>
      </c>
      <c r="B16" s="137"/>
      <c r="C16" s="146"/>
      <c r="D16" s="153">
        <v>0</v>
      </c>
      <c r="E16" s="153"/>
      <c r="F16" s="158"/>
      <c r="G16" s="157"/>
      <c r="H16" s="159">
        <f t="shared" si="0"/>
        <v>0</v>
      </c>
    </row>
    <row r="17" spans="1:8">
      <c r="A17" t="s">
        <v>112</v>
      </c>
      <c r="C17" s="161"/>
      <c r="D17" s="154">
        <v>0</v>
      </c>
      <c r="E17" s="154">
        <v>2.2999999999999998</v>
      </c>
      <c r="F17" s="163"/>
      <c r="G17" s="163"/>
      <c r="H17" s="163">
        <f t="shared" si="0"/>
        <v>0</v>
      </c>
    </row>
    <row r="18" spans="1:8">
      <c r="A18" t="s">
        <v>113</v>
      </c>
      <c r="C18" s="161"/>
      <c r="D18" s="154">
        <v>0</v>
      </c>
      <c r="E18" s="154">
        <v>1.05</v>
      </c>
      <c r="F18" s="163"/>
      <c r="G18" s="163"/>
      <c r="H18" s="163">
        <f t="shared" si="0"/>
        <v>0</v>
      </c>
    </row>
    <row r="19" spans="1:8">
      <c r="A19" t="s">
        <v>114</v>
      </c>
      <c r="C19" s="161"/>
      <c r="D19" s="154">
        <v>0</v>
      </c>
      <c r="E19" s="154">
        <v>3.65</v>
      </c>
      <c r="F19" s="163"/>
      <c r="G19" s="163"/>
      <c r="H19" s="163">
        <f t="shared" si="0"/>
        <v>0</v>
      </c>
    </row>
    <row r="20" spans="1:8">
      <c r="A20" s="142" t="s">
        <v>115</v>
      </c>
      <c r="B20" s="137"/>
      <c r="C20" s="146"/>
      <c r="D20" s="153"/>
      <c r="E20" s="153"/>
      <c r="F20" s="158"/>
      <c r="G20" s="157"/>
      <c r="H20" s="159"/>
    </row>
    <row r="21" spans="1:8">
      <c r="A21" t="s">
        <v>116</v>
      </c>
      <c r="C21" s="161"/>
      <c r="F21" s="163"/>
      <c r="G21" s="163"/>
      <c r="H21" s="154"/>
    </row>
    <row r="22" spans="1:8">
      <c r="A22" t="s">
        <v>117</v>
      </c>
      <c r="C22" s="161"/>
      <c r="F22" s="163"/>
      <c r="G22" s="163"/>
      <c r="H22" s="154"/>
    </row>
    <row r="23" spans="1:8">
      <c r="A23" t="s">
        <v>118</v>
      </c>
      <c r="C23" s="161"/>
      <c r="F23" s="163"/>
      <c r="G23" s="163"/>
      <c r="H23" s="154"/>
    </row>
    <row r="24" spans="1:8">
      <c r="A24" t="s">
        <v>119</v>
      </c>
      <c r="C24" s="161"/>
      <c r="F24" s="163"/>
      <c r="G24" s="163"/>
      <c r="H24" s="154"/>
    </row>
    <row r="25" spans="1:8">
      <c r="A25" t="s">
        <v>120</v>
      </c>
      <c r="C25" s="161"/>
      <c r="F25" s="163"/>
      <c r="G25" s="163"/>
      <c r="H25" s="154"/>
    </row>
    <row r="26" spans="1:8">
      <c r="A26" t="s">
        <v>121</v>
      </c>
      <c r="C26" s="161"/>
      <c r="F26" s="163"/>
      <c r="G26" s="163"/>
      <c r="H26" s="154"/>
    </row>
    <row r="27" spans="1:8">
      <c r="A27" t="s">
        <v>122</v>
      </c>
      <c r="C27" s="161"/>
      <c r="F27" s="163"/>
      <c r="G27" s="163"/>
      <c r="H27" s="154"/>
    </row>
    <row r="28" spans="1:8">
      <c r="A28" t="s">
        <v>123</v>
      </c>
      <c r="C28" s="161"/>
      <c r="F28" s="163"/>
      <c r="G28" s="163"/>
      <c r="H28" s="154"/>
    </row>
    <row r="29" spans="1:8">
      <c r="A29" t="s">
        <v>124</v>
      </c>
      <c r="C29" s="161"/>
      <c r="F29" s="163"/>
      <c r="G29" s="163"/>
      <c r="H29" s="154"/>
    </row>
    <row r="30" spans="1:8">
      <c r="A30" t="s">
        <v>125</v>
      </c>
      <c r="C30" s="161"/>
      <c r="F30" s="163"/>
      <c r="G30" s="163"/>
      <c r="H30" s="154"/>
    </row>
    <row r="31" spans="1:8">
      <c r="A31" t="s">
        <v>126</v>
      </c>
      <c r="C31" s="161"/>
      <c r="F31" s="163"/>
      <c r="G31" s="163"/>
      <c r="H31" s="154"/>
    </row>
    <row r="32" spans="1:8">
      <c r="A32" t="s">
        <v>127</v>
      </c>
      <c r="C32" s="161"/>
      <c r="F32" s="163"/>
      <c r="G32" s="163"/>
      <c r="H32" s="154"/>
    </row>
    <row r="33" spans="1:8">
      <c r="A33" t="s">
        <v>128</v>
      </c>
      <c r="C33" s="161"/>
      <c r="F33" s="163"/>
      <c r="G33" s="163"/>
      <c r="H33" s="154"/>
    </row>
    <row r="34" spans="1:8">
      <c r="A34" t="s">
        <v>129</v>
      </c>
      <c r="C34" s="161"/>
      <c r="F34" s="163"/>
      <c r="G34" s="163"/>
      <c r="H34" s="154"/>
    </row>
    <row r="35" spans="1:8">
      <c r="A35" t="s">
        <v>130</v>
      </c>
      <c r="C35" s="161"/>
      <c r="F35" s="163"/>
      <c r="G35" s="163"/>
      <c r="H35" s="154"/>
    </row>
    <row r="36" spans="1:8" ht="15.75">
      <c r="A36" s="213" t="s">
        <v>131</v>
      </c>
      <c r="C36" s="161"/>
      <c r="F36" s="163"/>
      <c r="G36" s="163"/>
      <c r="H36" s="154"/>
    </row>
    <row r="37" spans="1:8" ht="15.75">
      <c r="A37" s="213" t="s">
        <v>132</v>
      </c>
      <c r="C37" s="161"/>
      <c r="F37" s="163"/>
      <c r="G37" s="163"/>
      <c r="H37" s="154"/>
    </row>
    <row r="38" spans="1:8">
      <c r="A38" t="s">
        <v>133</v>
      </c>
      <c r="C38" s="161"/>
      <c r="F38" s="163"/>
      <c r="G38" s="163"/>
      <c r="H38" s="154"/>
    </row>
    <row r="39" spans="1:8">
      <c r="A39" t="s">
        <v>134</v>
      </c>
      <c r="C39" s="161"/>
      <c r="F39" s="163"/>
      <c r="G39" s="163"/>
      <c r="H39" s="154"/>
    </row>
    <row r="40" spans="1:8">
      <c r="A40" s="142" t="s">
        <v>135</v>
      </c>
      <c r="B40" s="137"/>
      <c r="C40" s="146"/>
      <c r="D40" s="153"/>
      <c r="E40" s="153"/>
      <c r="F40" s="158"/>
      <c r="G40" s="157"/>
      <c r="H40" s="159"/>
    </row>
    <row r="41" spans="1:8">
      <c r="A41" s="162"/>
      <c r="C41" s="161"/>
      <c r="F41" s="163"/>
      <c r="G41" s="163"/>
      <c r="H41" s="154"/>
    </row>
    <row r="42" spans="1:8">
      <c r="A42" s="162"/>
      <c r="C42" s="161"/>
      <c r="F42" s="163"/>
      <c r="G42" s="163"/>
      <c r="H42" s="154"/>
    </row>
    <row r="43" spans="1:8">
      <c r="A43" s="162"/>
      <c r="C43" s="161"/>
      <c r="F43" s="163"/>
      <c r="G43" s="163"/>
      <c r="H43" s="154"/>
    </row>
    <row r="44" spans="1:8">
      <c r="A44" s="162"/>
      <c r="C44" s="161"/>
      <c r="F44" s="163"/>
      <c r="G44" s="163"/>
      <c r="H44" s="154"/>
    </row>
    <row r="45" spans="1:8">
      <c r="A45" s="162"/>
      <c r="C45" s="161"/>
      <c r="F45" s="163"/>
      <c r="G45" s="163"/>
      <c r="H45" s="154"/>
    </row>
    <row r="46" spans="1:8">
      <c r="A46" s="153"/>
      <c r="B46" s="153"/>
      <c r="C46" s="153"/>
      <c r="D46" s="153"/>
      <c r="E46" s="153"/>
      <c r="F46" s="160">
        <f>SUM(F2:F45)</f>
        <v>0</v>
      </c>
      <c r="G46" s="160">
        <f>SUM(G2:G45)</f>
        <v>0</v>
      </c>
      <c r="H46" s="160">
        <f>SUM(H2:H45)</f>
        <v>0</v>
      </c>
    </row>
  </sheetData>
  <sheetProtection sheet="1" objects="1" scenarios="1"/>
  <dataValidations count="1">
    <dataValidation allowBlank="1" showInputMessage="1" showErrorMessage="1" promptTitle="List" prompt="List" sqref="A41:A45" xr:uid="{74358A36-6205-4EFC-9421-A6D302A740D4}"/>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F83501-2E4C-41E4-818E-06F2A3ECB9CA}">
  <dimension ref="B1:R37"/>
  <sheetViews>
    <sheetView workbookViewId="0">
      <selection activeCell="E8" sqref="E8"/>
    </sheetView>
  </sheetViews>
  <sheetFormatPr defaultRowHeight="15"/>
  <cols>
    <col min="2" max="2" width="76.42578125" bestFit="1" customWidth="1"/>
    <col min="3" max="3" width="1.85546875" customWidth="1"/>
    <col min="4" max="4" width="2" customWidth="1"/>
    <col min="5" max="5" width="13.85546875" bestFit="1" customWidth="1"/>
    <col min="6" max="6" width="13.42578125" bestFit="1" customWidth="1"/>
    <col min="7" max="7" width="15.140625" bestFit="1" customWidth="1"/>
    <col min="8" max="9" width="13.42578125" bestFit="1" customWidth="1"/>
  </cols>
  <sheetData>
    <row r="1" spans="2:18">
      <c r="E1" s="165" t="s">
        <v>4</v>
      </c>
      <c r="F1" s="165" t="s">
        <v>76</v>
      </c>
      <c r="G1" s="165" t="s">
        <v>79</v>
      </c>
      <c r="H1" s="165" t="s">
        <v>82</v>
      </c>
      <c r="I1" s="165" t="s">
        <v>85</v>
      </c>
    </row>
    <row r="2" spans="2:18" ht="15.75">
      <c r="B2" s="135" t="s">
        <v>15</v>
      </c>
      <c r="C2" s="135"/>
      <c r="D2" s="135"/>
      <c r="E2" s="135" t="s">
        <v>136</v>
      </c>
      <c r="F2" s="135" t="s">
        <v>136</v>
      </c>
      <c r="G2" s="135" t="s">
        <v>136</v>
      </c>
      <c r="H2" s="135" t="s">
        <v>136</v>
      </c>
      <c r="I2" s="135" t="s">
        <v>136</v>
      </c>
    </row>
    <row r="3" spans="2:18" ht="15.75">
      <c r="B3" s="4" t="s">
        <v>60</v>
      </c>
      <c r="C3" s="134"/>
      <c r="D3" s="134"/>
      <c r="E3" s="58">
        <f>TotalProjectCost</f>
        <v>44000</v>
      </c>
      <c r="F3" s="58">
        <f>TotalProjectCost</f>
        <v>44000</v>
      </c>
      <c r="G3" s="58">
        <f>TotalProjectCost</f>
        <v>44000</v>
      </c>
      <c r="H3" s="58">
        <f>TotalProjectCost</f>
        <v>44000</v>
      </c>
      <c r="I3" s="58">
        <f>TotalProjectCost</f>
        <v>44000</v>
      </c>
    </row>
    <row r="4" spans="2:18" ht="15.75">
      <c r="B4" s="4" t="s">
        <v>137</v>
      </c>
      <c r="C4" s="134"/>
      <c r="D4" s="134"/>
      <c r="E4" s="63">
        <v>50000</v>
      </c>
      <c r="F4" s="63">
        <v>30000</v>
      </c>
      <c r="G4" s="63">
        <v>15000</v>
      </c>
      <c r="H4" s="63">
        <v>15000</v>
      </c>
      <c r="I4" s="63">
        <v>15000</v>
      </c>
    </row>
    <row r="5" spans="2:18" s="133" customFormat="1" ht="15.75">
      <c r="B5" s="4"/>
      <c r="C5" s="134"/>
      <c r="D5" s="134"/>
      <c r="E5" s="63"/>
      <c r="F5" s="63"/>
      <c r="G5" s="63"/>
      <c r="H5" s="63"/>
      <c r="I5" s="63"/>
    </row>
    <row r="6" spans="2:18" ht="15.75">
      <c r="B6" s="4" t="s">
        <v>22</v>
      </c>
      <c r="C6" s="134"/>
      <c r="D6" s="134"/>
      <c r="E6" s="67">
        <f>MaxPCEFCriticRepairAllow</f>
        <v>9000</v>
      </c>
      <c r="F6" s="67">
        <f>MaxPCEFCriticRepairAllow</f>
        <v>9000</v>
      </c>
      <c r="G6" s="67">
        <f>MaxPCEFCriticRepairAllow</f>
        <v>9000</v>
      </c>
      <c r="H6" s="67">
        <f>MaxPCEFCriticRepairAllow</f>
        <v>9000</v>
      </c>
      <c r="I6" s="67">
        <f>MaxPCEFCriticRepairAllow</f>
        <v>9000</v>
      </c>
    </row>
    <row r="7" spans="2:18" ht="15.75">
      <c r="B7" s="4"/>
      <c r="C7" s="134"/>
      <c r="D7" s="134"/>
      <c r="E7" s="67"/>
      <c r="F7" s="67"/>
      <c r="G7" s="67"/>
      <c r="H7" s="67"/>
      <c r="I7" s="67"/>
    </row>
    <row r="8" spans="2:18" ht="15.75">
      <c r="B8" s="4" t="s">
        <v>24</v>
      </c>
      <c r="C8" s="134"/>
      <c r="D8" s="134"/>
      <c r="E8" s="47">
        <f>IF((E19-E23)&gt;E4,E4,E19-E23)</f>
        <v>33000</v>
      </c>
      <c r="F8" s="47">
        <f>IF((F19-F23)&gt;F4,F4,F19-F23)</f>
        <v>30000</v>
      </c>
      <c r="G8" s="47">
        <f>IF(G3&gt;(2*G4),MIN(G19-G23,G4),MAX((G19-G23),(G23+G18)/2))</f>
        <v>15000</v>
      </c>
      <c r="H8" s="47">
        <f>IF(H3&gt;(2*H4),MIN(H19-H23,H4),MAX((H19-H23),(H23+H18)/2))</f>
        <v>15000</v>
      </c>
      <c r="I8" s="47">
        <f>IF((I19-I23)&gt;I4,I4,I19-I23)</f>
        <v>15000</v>
      </c>
      <c r="L8" s="185">
        <f>G19-G23</f>
        <v>33000</v>
      </c>
    </row>
    <row r="9" spans="2:18" ht="15.75">
      <c r="B9" s="57" t="s">
        <v>138</v>
      </c>
      <c r="C9" s="134"/>
      <c r="D9" s="134"/>
      <c r="E9" s="88">
        <f>MIN((PostPCEFFundMaxCritRepair+PostPCEFFundEnergySave),PostMaxPCEFFundCompl)</f>
        <v>42000</v>
      </c>
      <c r="F9" s="88">
        <f>MIN((F8+F6),F4)</f>
        <v>30000</v>
      </c>
      <c r="G9" s="88">
        <f>MIN((G8+G6),0.5*G3,G4)</f>
        <v>15000</v>
      </c>
      <c r="H9" s="88">
        <f>MIN((H8+H6),0.5*H3,H4)</f>
        <v>15000</v>
      </c>
      <c r="I9" s="88">
        <f>MIN((I8+I6),I4)</f>
        <v>15000</v>
      </c>
    </row>
    <row r="10" spans="2:18" ht="15.75">
      <c r="B10" s="57"/>
      <c r="C10" s="57"/>
      <c r="D10" s="57"/>
    </row>
    <row r="11" spans="2:18" ht="15.75">
      <c r="B11" s="135" t="s">
        <v>27</v>
      </c>
      <c r="C11" s="135"/>
      <c r="D11" s="135"/>
      <c r="E11" s="135"/>
      <c r="F11" s="135"/>
      <c r="G11" s="135"/>
      <c r="H11" s="135"/>
      <c r="I11" s="135"/>
    </row>
    <row r="12" spans="2:18" ht="15.75">
      <c r="B12" s="4" t="s">
        <v>139</v>
      </c>
      <c r="C12" s="134"/>
      <c r="D12" s="134"/>
      <c r="E12" s="61">
        <v>0</v>
      </c>
      <c r="F12" s="61">
        <v>0</v>
      </c>
      <c r="G12" s="61">
        <v>0.5</v>
      </c>
      <c r="H12" s="61">
        <v>0.5</v>
      </c>
      <c r="I12" s="61">
        <f t="array" ref="I12">INDEX('Critical Repair Cap Calculator'!P33:U37,MATCH('Critical Repair Cap Calculator'!M11,'Critical Repair Cap Calculator'!T30:T34,0),5)</f>
        <v>0.5</v>
      </c>
    </row>
    <row r="13" spans="2:18" ht="15.75">
      <c r="B13" s="4" t="s">
        <v>140</v>
      </c>
      <c r="C13" s="134"/>
      <c r="D13" s="134"/>
      <c r="E13" s="69">
        <f>PostClientCostShare*PostTotalProjCost</f>
        <v>0</v>
      </c>
      <c r="F13" s="69">
        <f>F12*F3</f>
        <v>0</v>
      </c>
      <c r="G13" s="69">
        <f>IF(G23&lt;G4,MIN((G4-G23),(G3/2-G23)),0)</f>
        <v>13000</v>
      </c>
      <c r="H13" s="69">
        <f>IF(H23&lt;H4,MIN((H4-H23),(H3/2-H23)),0)</f>
        <v>13000</v>
      </c>
      <c r="I13" s="69">
        <f>I12*I3</f>
        <v>22000</v>
      </c>
      <c r="R13" s="47"/>
    </row>
    <row r="14" spans="2:18" ht="15.75">
      <c r="B14" s="4" t="s">
        <v>141</v>
      </c>
      <c r="C14" s="134"/>
      <c r="D14" s="134"/>
      <c r="E14" s="47">
        <f>IF(PostTotalProjCost-(PostPCEFFundTotalProject+OtherEnergyIncentRebates+PostClientCostShareMin)&lt;0,0,(PostTotalProjCost-(PostPCEFFundTotalProject+OtherEnergyIncentRebates+PostClientCostShareMin)))</f>
        <v>0</v>
      </c>
      <c r="F14" s="47">
        <f>IF(PostTotalProjCost-(PostPCEFFundTotalProject+OtherEnergyIncentRebates+PostClientCostShareMin)&lt;0,0,(PostTotalProjCost-(PostPCEFFundTotalProject+OtherEnergyIncentRebates+PostClientCostShareMin)))</f>
        <v>0</v>
      </c>
      <c r="G14" s="47">
        <f>IF(PostTotalProjCost-(PostPCEFFundTotalProject+OtherEnergyIncentRebates+PostClientCostShareMin)&lt;0,0,(PostTotalProjCost-(PostPCEFFundTotalProject+OtherEnergyIncentRebates+PostClientCostShareMin)))</f>
        <v>0</v>
      </c>
      <c r="H14" s="47">
        <f>IF(PostTotalProjCost-(PostPCEFFundTotalProject+OtherEnergyIncentRebates+PostClientCostShareMin)&lt;0,0,(PostTotalProjCost-(PostPCEFFundTotalProject+OtherEnergyIncentRebates+PostClientCostShareMin)))</f>
        <v>0</v>
      </c>
      <c r="I14" s="47">
        <f>IF(PostTotalProjCost-(PostPCEFFundTotalProject+OtherEnergyIncentRebates+PostClientCostShareMin)&lt;0,0,(PostTotalProjCost-(PostPCEFFundTotalProject+OtherEnergyIncentRebates+PostClientCostShareMin)))</f>
        <v>0</v>
      </c>
    </row>
    <row r="15" spans="2:18" ht="15.75">
      <c r="B15" s="57"/>
      <c r="C15" s="134"/>
      <c r="D15" s="134"/>
      <c r="E15" s="63"/>
      <c r="F15" s="63"/>
      <c r="G15" s="63"/>
      <c r="H15" s="63"/>
      <c r="I15" s="63"/>
    </row>
    <row r="16" spans="2:18" ht="15.75">
      <c r="B16" s="4"/>
      <c r="C16" s="4"/>
      <c r="D16" s="4"/>
      <c r="E16" s="62"/>
      <c r="F16" s="62"/>
      <c r="G16" s="62"/>
      <c r="H16" s="62"/>
      <c r="I16" s="62"/>
    </row>
    <row r="17" spans="2:12" ht="15.75">
      <c r="B17" s="135" t="s">
        <v>142</v>
      </c>
      <c r="C17" s="135"/>
      <c r="D17" s="135"/>
      <c r="E17" s="135"/>
      <c r="F17" s="135"/>
      <c r="G17" s="135"/>
      <c r="H17" s="135"/>
      <c r="I17" s="135"/>
    </row>
    <row r="18" spans="2:12" ht="15.75">
      <c r="B18" s="4" t="s">
        <v>143</v>
      </c>
      <c r="C18" s="134"/>
      <c r="D18" s="134"/>
      <c r="E18" s="89">
        <f>PostPCEFFundMaxCritRepair</f>
        <v>9000</v>
      </c>
      <c r="F18" s="89">
        <f>PostPCEFFundMaxCritRepair</f>
        <v>9000</v>
      </c>
      <c r="G18" s="89">
        <f>PostPCEFFundMaxCritRepair</f>
        <v>9000</v>
      </c>
      <c r="H18" s="89">
        <f>PostPCEFFundMaxCritRepair</f>
        <v>9000</v>
      </c>
      <c r="I18" s="89">
        <f>PostPCEFFundMaxCritRepair</f>
        <v>9000</v>
      </c>
    </row>
    <row r="19" spans="2:12" ht="15.75">
      <c r="B19" s="4" t="s">
        <v>144</v>
      </c>
      <c r="C19" s="134"/>
      <c r="D19" s="134"/>
      <c r="E19" s="47">
        <f>'Critical Repair Cap Calculator'!$I$11+'Critical Repair Cap Calculator'!$I$12</f>
        <v>35000</v>
      </c>
      <c r="F19" s="47">
        <f>'Critical Repair Cap Calculator'!$I$11+'Critical Repair Cap Calculator'!$I$12</f>
        <v>35000</v>
      </c>
      <c r="G19" s="47">
        <f>'Critical Repair Cap Calculator'!$I$11+'Critical Repair Cap Calculator'!$I$12</f>
        <v>35000</v>
      </c>
      <c r="H19" s="47">
        <f>'Critical Repair Cap Calculator'!$I$11+'Critical Repair Cap Calculator'!$I$12</f>
        <v>35000</v>
      </c>
      <c r="I19" s="47">
        <f>'Critical Repair Cap Calculator'!$I$11+'Critical Repair Cap Calculator'!$I$12</f>
        <v>35000</v>
      </c>
    </row>
    <row r="20" spans="2:12" ht="15.75">
      <c r="B20" s="87"/>
      <c r="C20" s="134"/>
      <c r="D20" s="134"/>
      <c r="E20" s="59"/>
      <c r="F20" s="59"/>
      <c r="G20" s="59"/>
      <c r="H20" s="59"/>
      <c r="I20" s="59"/>
    </row>
    <row r="21" spans="2:12" ht="15.75">
      <c r="B21" s="4" t="s">
        <v>145</v>
      </c>
      <c r="C21" s="134"/>
      <c r="D21" s="134"/>
      <c r="E21" s="89">
        <f>PostPCEFFundTotalProject</f>
        <v>42000</v>
      </c>
      <c r="F21" s="89">
        <f>F9</f>
        <v>30000</v>
      </c>
      <c r="G21" s="89">
        <f t="shared" ref="G21:I21" si="0">G9</f>
        <v>15000</v>
      </c>
      <c r="H21" s="89">
        <f t="shared" si="0"/>
        <v>15000</v>
      </c>
      <c r="I21" s="89">
        <f t="shared" si="0"/>
        <v>15000</v>
      </c>
    </row>
    <row r="22" spans="2:12" ht="15.75">
      <c r="B22" s="4"/>
      <c r="C22" s="134"/>
      <c r="D22" s="134"/>
      <c r="E22" s="89"/>
      <c r="F22" s="89"/>
      <c r="G22" s="89"/>
      <c r="H22" s="89"/>
      <c r="I22" s="89"/>
    </row>
    <row r="23" spans="2:12" ht="15.75">
      <c r="B23" s="4" t="s">
        <v>8</v>
      </c>
      <c r="C23" s="134"/>
      <c r="D23" s="134"/>
      <c r="E23" s="89">
        <f>OtherEnergyIncentRebates</f>
        <v>2000</v>
      </c>
      <c r="F23" s="89">
        <f>OtherEnergyIncentRebates</f>
        <v>2000</v>
      </c>
      <c r="G23" s="89">
        <f>OtherEnergyIncentRebates</f>
        <v>2000</v>
      </c>
      <c r="H23" s="89">
        <f>OtherEnergyIncentRebates</f>
        <v>2000</v>
      </c>
      <c r="I23" s="89">
        <f>OtherEnergyIncentRebates</f>
        <v>2000</v>
      </c>
    </row>
    <row r="24" spans="2:12" ht="15.75">
      <c r="B24" s="4"/>
      <c r="C24" s="134"/>
      <c r="D24" s="134"/>
      <c r="E24" s="89"/>
      <c r="F24" s="89"/>
      <c r="G24" s="89"/>
      <c r="H24" s="89"/>
      <c r="I24" s="89"/>
    </row>
    <row r="25" spans="2:12" ht="15.75">
      <c r="B25" s="4"/>
      <c r="C25" s="134"/>
      <c r="D25" s="134"/>
      <c r="E25" s="89"/>
      <c r="F25" s="89"/>
      <c r="G25" s="89"/>
      <c r="H25" s="89"/>
      <c r="I25" s="89"/>
    </row>
    <row r="26" spans="2:12" ht="15.75">
      <c r="B26" s="4" t="s">
        <v>146</v>
      </c>
      <c r="C26" s="134"/>
      <c r="D26" s="134"/>
      <c r="E26" s="89">
        <f>E3-E23-E18-E13</f>
        <v>33000</v>
      </c>
      <c r="F26" s="89">
        <f>F3-F23-F18-F13</f>
        <v>33000</v>
      </c>
      <c r="G26" s="89">
        <f>G3-G23-G18-G13</f>
        <v>20000</v>
      </c>
      <c r="H26" s="89">
        <f t="shared" ref="H26:I26" si="1">H3-H23-H18-H13</f>
        <v>20000</v>
      </c>
      <c r="I26" s="89">
        <f t="shared" si="1"/>
        <v>11000</v>
      </c>
    </row>
    <row r="27" spans="2:12" ht="15.75">
      <c r="B27" s="4" t="s">
        <v>147</v>
      </c>
      <c r="C27" s="134"/>
      <c r="D27" s="134"/>
      <c r="E27" s="89">
        <f>MIN(MaxPCEFCriticRepairAllow,(PostMaxPCEFFundCompl-PostOtherEnergyIncentRebates-PostOtherRepairDollars),(PostMaxPCEFFundCompl-PostPCEFFundEnergySave-PostOtherRepairDollars))</f>
        <v>9000</v>
      </c>
      <c r="F27" s="89">
        <f>MIN(MaxPCEFCriticRepairAllow,(F4-F23),(F4-F8))</f>
        <v>0</v>
      </c>
      <c r="G27" s="89">
        <f>IF(G19&gt;2*G4,0,(MIN(MaxPCEFCriticRepairAllow,(G3-G8-G13-G23),(G4-G8))))</f>
        <v>0</v>
      </c>
      <c r="H27" s="89">
        <f>IF(H19&gt;2*H4,0,(MIN(MaxPCEFCriticRepairAllow,(H3-H8-H13-H23),(H4-H8))))</f>
        <v>0</v>
      </c>
      <c r="I27" s="89">
        <f>MIN(MaxPCEFCriticRepairAllow,(I4-I23),(I4-I8))</f>
        <v>0</v>
      </c>
      <c r="L27" s="185">
        <f>G3-G8-G13-G23</f>
        <v>14000</v>
      </c>
    </row>
    <row r="28" spans="2:12" ht="15.75">
      <c r="B28" s="4"/>
      <c r="C28" s="134"/>
      <c r="D28" s="134"/>
      <c r="E28" s="89"/>
      <c r="F28" s="89"/>
      <c r="G28" s="89"/>
      <c r="H28" s="89"/>
      <c r="I28" s="89"/>
    </row>
    <row r="29" spans="2:12" ht="15.75">
      <c r="B29" s="4"/>
      <c r="C29" s="134"/>
      <c r="D29" s="134"/>
      <c r="E29" s="95"/>
      <c r="F29" s="95"/>
      <c r="G29" s="95"/>
      <c r="H29" s="95"/>
      <c r="I29" s="95"/>
    </row>
    <row r="30" spans="2:12" ht="15.75">
      <c r="B30" s="4" t="s">
        <v>148</v>
      </c>
      <c r="C30" s="134"/>
      <c r="D30" s="134"/>
      <c r="E30" s="95" t="s">
        <v>149</v>
      </c>
      <c r="F30" s="95" t="s">
        <v>149</v>
      </c>
      <c r="G30" s="95" t="s">
        <v>150</v>
      </c>
      <c r="H30" s="95" t="s">
        <v>150</v>
      </c>
      <c r="I30" s="95" t="s">
        <v>149</v>
      </c>
    </row>
    <row r="31" spans="2:12" ht="15.75">
      <c r="B31" s="135" t="s">
        <v>37</v>
      </c>
      <c r="C31" s="135"/>
      <c r="D31" s="135"/>
      <c r="E31" s="135"/>
      <c r="F31" s="135"/>
      <c r="G31" s="135"/>
      <c r="H31" s="135"/>
      <c r="I31" s="135"/>
    </row>
    <row r="32" spans="2:12" ht="15.75">
      <c r="B32" s="4" t="s">
        <v>151</v>
      </c>
      <c r="C32" s="134"/>
      <c r="D32" s="134"/>
      <c r="E32" s="77">
        <f>PostPCEFEnergyEfficiencyMeasureCostsPrior/PostTotalProjCost</f>
        <v>0.79545454545454541</v>
      </c>
      <c r="F32" s="77">
        <f>F19/F3</f>
        <v>0.79545454545454541</v>
      </c>
      <c r="G32" s="77">
        <f t="shared" ref="G32:I32" si="2">G19/G3</f>
        <v>0.79545454545454541</v>
      </c>
      <c r="H32" s="77">
        <f t="shared" si="2"/>
        <v>0.79545454545454541</v>
      </c>
      <c r="I32" s="77">
        <f t="shared" si="2"/>
        <v>0.79545454545454541</v>
      </c>
    </row>
    <row r="33" spans="2:9" ht="15.75">
      <c r="B33" s="4" t="s">
        <v>152</v>
      </c>
      <c r="C33" s="134"/>
      <c r="D33" s="134"/>
      <c r="E33" s="60">
        <f>PostPCEFRepairCostPrior/PostTotalProjCost</f>
        <v>0.20454545454545456</v>
      </c>
      <c r="F33" s="60">
        <f>1-F32</f>
        <v>0.20454545454545459</v>
      </c>
      <c r="G33" s="60">
        <f t="shared" ref="G33:I33" si="3">1-G32</f>
        <v>0.20454545454545459</v>
      </c>
      <c r="H33" s="60">
        <f t="shared" si="3"/>
        <v>0.20454545454545459</v>
      </c>
      <c r="I33" s="60">
        <f t="shared" si="3"/>
        <v>0.20454545454545459</v>
      </c>
    </row>
    <row r="34" spans="2:9" ht="15.75">
      <c r="B34" s="4"/>
      <c r="C34" s="4"/>
      <c r="E34" s="4"/>
    </row>
    <row r="35" spans="2:9" ht="15.75">
      <c r="B35" s="4"/>
      <c r="C35" s="4"/>
      <c r="E35" s="4"/>
    </row>
    <row r="36" spans="2:9" ht="15.75">
      <c r="B36" s="4"/>
      <c r="C36" s="4"/>
      <c r="E36" s="4"/>
    </row>
    <row r="37" spans="2:9" ht="15.75">
      <c r="B37" s="4"/>
      <c r="C37" s="4"/>
      <c r="E37" s="4"/>
    </row>
  </sheetData>
  <conditionalFormatting sqref="E22:I28">
    <cfRule type="cellIs" dxfId="7" priority="2" operator="greaterThan">
      <formula>0</formula>
    </cfRule>
  </conditionalFormatting>
  <conditionalFormatting sqref="E29:I29">
    <cfRule type="cellIs" dxfId="6" priority="8" operator="equal">
      <formula>"Yes"</formula>
    </cfRule>
  </conditionalFormatting>
  <conditionalFormatting sqref="E30:I30">
    <cfRule type="cellIs" dxfId="5" priority="7" operator="equal">
      <formula>"Yes"</formula>
    </cfRule>
    <cfRule type="cellIs" dxfId="4" priority="13" operator="equal">
      <formula>Yes</formula>
    </cfRule>
  </conditionalFormatting>
  <conditionalFormatting sqref="E32:I32">
    <cfRule type="cellIs" dxfId="3" priority="14" operator="lessThan">
      <formula>0.7</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1" operator="equal" id="{D2EBB6B5-7DBD-4C32-BCB9-222311BFE331}">
            <xm:f>'Critical Repair Cap Calculator'!$I$9</xm:f>
            <x14:dxf>
              <font>
                <color rgb="FF0000FF"/>
              </font>
              <fill>
                <patternFill>
                  <bgColor theme="4" tint="0.59996337778862885"/>
                </patternFill>
              </fill>
              <border>
                <left style="thin">
                  <color auto="1"/>
                </left>
                <right style="thin">
                  <color auto="1"/>
                </right>
                <top style="thin">
                  <color auto="1"/>
                </top>
                <bottom style="thin">
                  <color auto="1"/>
                </bottom>
                <vertical/>
                <horizontal/>
              </border>
            </x14:dxf>
          </x14:cfRule>
          <xm:sqref>E1:I1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C5E62-7ADF-43AC-99D2-3B065B87DCC4}">
  <sheetPr>
    <tabColor rgb="FFFFC000"/>
  </sheetPr>
  <dimension ref="B1:F15"/>
  <sheetViews>
    <sheetView workbookViewId="0">
      <selection activeCell="F14" sqref="F14"/>
    </sheetView>
  </sheetViews>
  <sheetFormatPr defaultRowHeight="15"/>
  <cols>
    <col min="2" max="2" width="34.42578125" bestFit="1" customWidth="1"/>
    <col min="3" max="3" width="11.42578125" bestFit="1" customWidth="1"/>
    <col min="5" max="5" width="36.140625" bestFit="1" customWidth="1"/>
  </cols>
  <sheetData>
    <row r="1" spans="2:6" ht="33" customHeight="1">
      <c r="B1" s="109" t="s">
        <v>153</v>
      </c>
    </row>
    <row r="2" spans="2:6" ht="15.75" thickBot="1"/>
    <row r="3" spans="2:6">
      <c r="B3" s="102" t="s">
        <v>154</v>
      </c>
      <c r="C3" s="103"/>
      <c r="E3" s="96" t="s">
        <v>155</v>
      </c>
      <c r="F3" s="101"/>
    </row>
    <row r="4" spans="2:6">
      <c r="B4" s="97" t="s">
        <v>60</v>
      </c>
      <c r="C4" s="98">
        <f>'Critical Repair Cap Calculator'!I17</f>
        <v>44000</v>
      </c>
      <c r="E4" s="97" t="s">
        <v>60</v>
      </c>
      <c r="F4" s="98">
        <f>TotalProjectCost</f>
        <v>44000</v>
      </c>
    </row>
    <row r="5" spans="2:6">
      <c r="B5" s="97" t="s">
        <v>156</v>
      </c>
      <c r="C5" s="98">
        <f>'Critical Repair Cap Calculator'!I11+'Critical Repair Cap Calculator'!I12</f>
        <v>35000</v>
      </c>
      <c r="E5" s="97" t="s">
        <v>157</v>
      </c>
      <c r="F5" s="98">
        <f>'Critical Repair Cap Calculator'!I11+'Critical Repair Cap Calculator'!I12</f>
        <v>35000</v>
      </c>
    </row>
    <row r="6" spans="2:6">
      <c r="B6" s="97" t="s">
        <v>158</v>
      </c>
      <c r="C6" s="98">
        <f>'Critical Repair Cap Calculator'!I15</f>
        <v>9000</v>
      </c>
      <c r="E6" s="97" t="s">
        <v>159</v>
      </c>
      <c r="F6" s="98">
        <f>'Critical Repair Cap Calculator'!I15</f>
        <v>9000</v>
      </c>
    </row>
    <row r="7" spans="2:6">
      <c r="B7" s="97" t="s">
        <v>160</v>
      </c>
      <c r="C7" s="98">
        <f>OtherEnergyIncentRebates</f>
        <v>2000</v>
      </c>
      <c r="E7" s="97" t="s">
        <v>161</v>
      </c>
      <c r="F7" s="98">
        <f>OtherEnergyIncentRebates</f>
        <v>2000</v>
      </c>
    </row>
    <row r="8" spans="2:6">
      <c r="B8" s="97" t="s">
        <v>162</v>
      </c>
      <c r="C8" s="98" cm="1">
        <f t="array" ref="C8">EnergySavingMeasures</f>
        <v>33000</v>
      </c>
      <c r="E8" s="97" t="s">
        <v>162</v>
      </c>
      <c r="F8" s="98" cm="1">
        <f t="array" ref="F8">EnergySavingMeasures</f>
        <v>33000</v>
      </c>
    </row>
    <row r="9" spans="2:6">
      <c r="B9" s="97" t="s">
        <v>163</v>
      </c>
      <c r="C9" s="98" cm="1">
        <f t="array" ref="C9">CriticalRepairsLimit</f>
        <v>9000</v>
      </c>
      <c r="E9" s="97" t="s">
        <v>163</v>
      </c>
      <c r="F9" s="98" cm="1">
        <f t="array" ref="F9">CriticalRepairsLimit</f>
        <v>9000</v>
      </c>
    </row>
    <row r="10" spans="2:6">
      <c r="B10" s="97" t="s">
        <v>164</v>
      </c>
      <c r="C10" s="98">
        <f>SubtotalEligiblePCEFFunding</f>
        <v>42000</v>
      </c>
      <c r="E10" s="97" t="s">
        <v>164</v>
      </c>
      <c r="F10" s="98">
        <f>SubtotalEligiblePCEFFunding</f>
        <v>42000</v>
      </c>
    </row>
    <row r="11" spans="2:6" ht="15.75" thickBot="1">
      <c r="B11" s="104" t="s">
        <v>165</v>
      </c>
      <c r="C11" s="105">
        <f>C10*0.5</f>
        <v>21000</v>
      </c>
      <c r="E11" s="104" t="s">
        <v>165</v>
      </c>
      <c r="F11" s="136"/>
    </row>
    <row r="12" spans="2:6" ht="15.75" thickBot="1">
      <c r="B12" s="107" t="s">
        <v>166</v>
      </c>
      <c r="C12" s="108">
        <f>'Critical Repair Cap Calculator'!O24+TotalClientCostShare</f>
        <v>0</v>
      </c>
      <c r="E12" s="99" t="s">
        <v>167</v>
      </c>
      <c r="F12" s="100">
        <f>F10-F11</f>
        <v>42000</v>
      </c>
    </row>
    <row r="13" spans="2:6" ht="15.75" thickBot="1">
      <c r="E13" s="107" t="s">
        <v>166</v>
      </c>
      <c r="F13" s="108">
        <f>F4-F7-F11-F12</f>
        <v>0</v>
      </c>
    </row>
    <row r="15" spans="2:6" ht="29.1" customHeight="1"/>
  </sheetData>
  <conditionalFormatting sqref="C12">
    <cfRule type="cellIs" dxfId="1" priority="2" operator="greaterThan">
      <formula>0</formula>
    </cfRule>
  </conditionalFormatting>
  <conditionalFormatting sqref="F13">
    <cfRule type="cellIs" dxfId="0" priority="1" operator="greaterThan">
      <formula>0</formula>
    </cfRule>
  </conditionalFormatting>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89063DAFEDF9F439872D39FC53F2200" ma:contentTypeVersion="16" ma:contentTypeDescription="Create a new document." ma:contentTypeScope="" ma:versionID="34f5da2cf8128471dc4fe7cfea00c0f9">
  <xsd:schema xmlns:xsd="http://www.w3.org/2001/XMLSchema" xmlns:xs="http://www.w3.org/2001/XMLSchema" xmlns:p="http://schemas.microsoft.com/office/2006/metadata/properties" xmlns:ns2="cb90d3d4-c7da-4966-9e77-648b567704ad" xmlns:ns3="68591eb6-f205-4484-98f5-1f01454844a1" targetNamespace="http://schemas.microsoft.com/office/2006/metadata/properties" ma:root="true" ma:fieldsID="323edf1501ae885e09351c49b5fbdb53" ns2:_="" ns3:_="">
    <xsd:import namespace="cb90d3d4-c7da-4966-9e77-648b567704ad"/>
    <xsd:import namespace="68591eb6-f205-4484-98f5-1f01454844a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3:SharedWithUsers" minOccurs="0"/>
                <xsd:element ref="ns3:SharedWithDetail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b90d3d4-c7da-4966-9e77-648b567704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ServiceObjectDetectorVersions" ma:index="12"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7b3d863c-210b-42fa-b5ce-68c0959d84f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591eb6-f205-4484-98f5-1f01454844a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dc8d952-645b-408e-b02c-3c6a7e8750f6}" ma:internalName="TaxCatchAll" ma:showField="CatchAllData" ma:web="68591eb6-f205-4484-98f5-1f01454844a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8591eb6-f205-4484-98f5-1f01454844a1" xsi:nil="true"/>
    <lcf76f155ced4ddcb4097134ff3c332f xmlns="cb90d3d4-c7da-4966-9e77-648b567704a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A01C886-A467-4E6E-A774-D6AC4BE987B4}"/>
</file>

<file path=customXml/itemProps2.xml><?xml version="1.0" encoding="utf-8"?>
<ds:datastoreItem xmlns:ds="http://schemas.openxmlformats.org/officeDocument/2006/customXml" ds:itemID="{F5D78104-FF59-47BC-B7D8-F2977BFE7C7C}"/>
</file>

<file path=customXml/itemProps3.xml><?xml version="1.0" encoding="utf-8"?>
<ds:datastoreItem xmlns:ds="http://schemas.openxmlformats.org/officeDocument/2006/customXml" ds:itemID="{C299F13E-C37A-4C30-8017-ADCE6F3AFCD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Grube, Kris</dc:creator>
  <cp:keywords/>
  <dc:description/>
  <cp:lastModifiedBy/>
  <cp:revision/>
  <dcterms:created xsi:type="dcterms:W3CDTF">2025-06-30T21:06:58Z</dcterms:created>
  <dcterms:modified xsi:type="dcterms:W3CDTF">2026-03-05T18:11:19Z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0x010100489063DAFEDF9F439872D39FC53F2200</vt:lpwstr>
  </property>
  <property fmtid="{D5CDD505-2E9C-101B-9397-08002B2CF9AE}" pid="3" name="MediaServiceImageTags">
    <vt:lpwstr/>
  </property>
</Properties>
</file>